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ARM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ARMM!$AF:$AN</definedName>
    <definedName name="_xlnm.Print_Titles" localSheetId="0">ARMM!$A:$A,ARMM!$1:$4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M53" i="1"/>
  <c r="L51" i="1"/>
  <c r="M51" i="1"/>
  <c r="M54" i="1" l="1"/>
  <c r="M48" i="1"/>
  <c r="M49" i="1" s="1"/>
  <c r="M39" i="1"/>
  <c r="M30" i="1"/>
  <c r="M26" i="1"/>
  <c r="M24" i="1"/>
  <c r="M52" i="1" s="1"/>
  <c r="M15" i="1"/>
  <c r="M21" i="1" s="1"/>
  <c r="M23" i="1" s="1"/>
  <c r="M28" i="1" s="1"/>
  <c r="M31" i="1" s="1"/>
  <c r="M34" i="1" l="1"/>
  <c r="M35" i="1" s="1"/>
  <c r="M32" i="1"/>
  <c r="M27" i="1"/>
  <c r="M25" i="1"/>
  <c r="AL79" i="1"/>
  <c r="AK79" i="1"/>
  <c r="AH79" i="1"/>
  <c r="AC79" i="1"/>
  <c r="AD79" i="1" s="1"/>
  <c r="N79" i="1"/>
  <c r="O79" i="1" s="1"/>
  <c r="D79" i="1"/>
  <c r="E79" i="1" s="1"/>
  <c r="AF78" i="1"/>
  <c r="AH78" i="1" s="1"/>
  <c r="AA78" i="1"/>
  <c r="AC78" i="1" s="1"/>
  <c r="AD78" i="1" s="1"/>
  <c r="M78" i="1"/>
  <c r="C78" i="1"/>
  <c r="B78" i="1"/>
  <c r="D78" i="1" s="1"/>
  <c r="E78" i="1" s="1"/>
  <c r="AF77" i="1"/>
  <c r="AH77" i="1" s="1"/>
  <c r="AA77" i="1"/>
  <c r="AC77" i="1" s="1"/>
  <c r="AD77" i="1" s="1"/>
  <c r="M77" i="1"/>
  <c r="L77" i="1"/>
  <c r="C77" i="1"/>
  <c r="B77" i="1"/>
  <c r="D77" i="1" s="1"/>
  <c r="E77" i="1" s="1"/>
  <c r="AL76" i="1"/>
  <c r="AK76" i="1"/>
  <c r="AM76" i="1" s="1"/>
  <c r="AN76" i="1" s="1"/>
  <c r="AH76" i="1"/>
  <c r="AC76" i="1"/>
  <c r="AD76" i="1" s="1"/>
  <c r="N76" i="1"/>
  <c r="O76" i="1" s="1"/>
  <c r="D76" i="1"/>
  <c r="E76" i="1" s="1"/>
  <c r="AL75" i="1"/>
  <c r="AK75" i="1"/>
  <c r="AH75" i="1"/>
  <c r="AC75" i="1"/>
  <c r="AD75" i="1" s="1"/>
  <c r="N75" i="1"/>
  <c r="O75" i="1" s="1"/>
  <c r="D75" i="1"/>
  <c r="E75" i="1" s="1"/>
  <c r="AK74" i="1"/>
  <c r="AI74" i="1"/>
  <c r="AD74" i="1"/>
  <c r="O74" i="1"/>
  <c r="C74" i="1"/>
  <c r="AL74" i="1" s="1"/>
  <c r="AL73" i="1"/>
  <c r="AD73" i="1"/>
  <c r="AF72" i="1"/>
  <c r="AH72" i="1" s="1"/>
  <c r="AB72" i="1"/>
  <c r="AA72" i="1"/>
  <c r="AC72" i="1" s="1"/>
  <c r="AD72" i="1" s="1"/>
  <c r="M72" i="1"/>
  <c r="B72" i="1"/>
  <c r="AF71" i="1"/>
  <c r="AH71" i="1" s="1"/>
  <c r="AB71" i="1"/>
  <c r="AA71" i="1"/>
  <c r="AC71" i="1" s="1"/>
  <c r="AD71" i="1" s="1"/>
  <c r="M71" i="1"/>
  <c r="B71" i="1"/>
  <c r="AF70" i="1"/>
  <c r="AI70" i="1" s="1"/>
  <c r="AB70" i="1"/>
  <c r="AA70" i="1"/>
  <c r="M70" i="1"/>
  <c r="B70" i="1"/>
  <c r="AL69" i="1"/>
  <c r="AK69" i="1"/>
  <c r="AH69" i="1"/>
  <c r="AC69" i="1"/>
  <c r="AD69" i="1" s="1"/>
  <c r="N69" i="1"/>
  <c r="O69" i="1" s="1"/>
  <c r="C69" i="1"/>
  <c r="D69" i="1" s="1"/>
  <c r="E69" i="1" s="1"/>
  <c r="AH68" i="1"/>
  <c r="AC68" i="1"/>
  <c r="AD68" i="1" s="1"/>
  <c r="L68" i="1"/>
  <c r="AK68" i="1" s="1"/>
  <c r="C68" i="1"/>
  <c r="D68" i="1" s="1"/>
  <c r="E68" i="1" s="1"/>
  <c r="AH67" i="1"/>
  <c r="AC67" i="1"/>
  <c r="AD67" i="1" s="1"/>
  <c r="L67" i="1"/>
  <c r="C67" i="1"/>
  <c r="C72" i="1" s="1"/>
  <c r="AL63" i="1"/>
  <c r="AF63" i="1"/>
  <c r="AH63" i="1" s="1"/>
  <c r="AI63" i="1" s="1"/>
  <c r="AA63" i="1"/>
  <c r="AC63" i="1" s="1"/>
  <c r="AD63" i="1" s="1"/>
  <c r="V63" i="1"/>
  <c r="X63" i="1" s="1"/>
  <c r="Y63" i="1" s="1"/>
  <c r="L63" i="1"/>
  <c r="N63" i="1" s="1"/>
  <c r="O63" i="1" s="1"/>
  <c r="B63" i="1"/>
  <c r="D63" i="1" s="1"/>
  <c r="E63" i="1" s="1"/>
  <c r="AL62" i="1"/>
  <c r="AF62" i="1"/>
  <c r="AH62" i="1" s="1"/>
  <c r="AI62" i="1" s="1"/>
  <c r="AA62" i="1"/>
  <c r="AC62" i="1" s="1"/>
  <c r="AD62" i="1" s="1"/>
  <c r="V62" i="1"/>
  <c r="X62" i="1" s="1"/>
  <c r="Y62" i="1" s="1"/>
  <c r="L62" i="1"/>
  <c r="N62" i="1" s="1"/>
  <c r="O62" i="1" s="1"/>
  <c r="B62" i="1"/>
  <c r="D62" i="1" s="1"/>
  <c r="E62" i="1" s="1"/>
  <c r="AK61" i="1"/>
  <c r="AM61" i="1" s="1"/>
  <c r="AN61" i="1" s="1"/>
  <c r="AF61" i="1"/>
  <c r="AH61" i="1" s="1"/>
  <c r="AI61" i="1" s="1"/>
  <c r="AA61" i="1"/>
  <c r="AC61" i="1" s="1"/>
  <c r="AD61" i="1" s="1"/>
  <c r="V61" i="1"/>
  <c r="X61" i="1" s="1"/>
  <c r="L61" i="1"/>
  <c r="N61" i="1" s="1"/>
  <c r="O61" i="1" s="1"/>
  <c r="B61" i="1"/>
  <c r="D61" i="1" s="1"/>
  <c r="E61" i="1" s="1"/>
  <c r="AL60" i="1"/>
  <c r="AF60" i="1"/>
  <c r="AH60" i="1" s="1"/>
  <c r="AI60" i="1" s="1"/>
  <c r="AA60" i="1"/>
  <c r="AC60" i="1" s="1"/>
  <c r="AD60" i="1" s="1"/>
  <c r="V60" i="1"/>
  <c r="X60" i="1" s="1"/>
  <c r="Y60" i="1" s="1"/>
  <c r="L60" i="1"/>
  <c r="N60" i="1" s="1"/>
  <c r="O60" i="1" s="1"/>
  <c r="B60" i="1"/>
  <c r="AK60" i="1" s="1"/>
  <c r="AL59" i="1"/>
  <c r="AF59" i="1"/>
  <c r="AH59" i="1" s="1"/>
  <c r="AI59" i="1" s="1"/>
  <c r="AA59" i="1"/>
  <c r="AC59" i="1" s="1"/>
  <c r="AD59" i="1" s="1"/>
  <c r="V59" i="1"/>
  <c r="X59" i="1" s="1"/>
  <c r="Y59" i="1" s="1"/>
  <c r="L59" i="1"/>
  <c r="N59" i="1" s="1"/>
  <c r="O59" i="1" s="1"/>
  <c r="B59" i="1"/>
  <c r="D59" i="1" s="1"/>
  <c r="E59" i="1" s="1"/>
  <c r="AG56" i="1"/>
  <c r="AF56" i="1"/>
  <c r="AB56" i="1"/>
  <c r="AA56" i="1"/>
  <c r="W56" i="1"/>
  <c r="V56" i="1"/>
  <c r="M56" i="1"/>
  <c r="L56" i="1"/>
  <c r="C56" i="1"/>
  <c r="B56" i="1"/>
  <c r="AL55" i="1"/>
  <c r="AK55" i="1"/>
  <c r="AH55" i="1"/>
  <c r="AC55" i="1"/>
  <c r="AD55" i="1" s="1"/>
  <c r="X55" i="1"/>
  <c r="Y55" i="1" s="1"/>
  <c r="L55" i="1"/>
  <c r="D55" i="1"/>
  <c r="E55" i="1" s="1"/>
  <c r="AL54" i="1"/>
  <c r="AH54" i="1"/>
  <c r="AI54" i="1" s="1"/>
  <c r="AC54" i="1"/>
  <c r="AD54" i="1" s="1"/>
  <c r="X54" i="1"/>
  <c r="Y54" i="1" s="1"/>
  <c r="L54" i="1"/>
  <c r="AK54" i="1" s="1"/>
  <c r="D54" i="1"/>
  <c r="E54" i="1" s="1"/>
  <c r="AL53" i="1"/>
  <c r="AK53" i="1"/>
  <c r="AH53" i="1"/>
  <c r="AI53" i="1" s="1"/>
  <c r="AC53" i="1"/>
  <c r="AD53" i="1" s="1"/>
  <c r="X53" i="1"/>
  <c r="Y53" i="1" s="1"/>
  <c r="D53" i="1"/>
  <c r="E53" i="1" s="1"/>
  <c r="AG52" i="1"/>
  <c r="AF52" i="1"/>
  <c r="AH52" i="1" s="1"/>
  <c r="AI52" i="1" s="1"/>
  <c r="AB52" i="1"/>
  <c r="AA52" i="1"/>
  <c r="W52" i="1"/>
  <c r="V52" i="1"/>
  <c r="C52" i="1"/>
  <c r="B52" i="1"/>
  <c r="AL51" i="1"/>
  <c r="AH51" i="1"/>
  <c r="AI51" i="1" s="1"/>
  <c r="AC51" i="1"/>
  <c r="AD51" i="1" s="1"/>
  <c r="X51" i="1"/>
  <c r="D51" i="1"/>
  <c r="E51" i="1" s="1"/>
  <c r="AG49" i="1"/>
  <c r="AF49" i="1"/>
  <c r="AH49" i="1" s="1"/>
  <c r="AI49" i="1" s="1"/>
  <c r="AB49" i="1"/>
  <c r="AA49" i="1"/>
  <c r="W49" i="1"/>
  <c r="V49" i="1"/>
  <c r="X49" i="1" s="1"/>
  <c r="Y49" i="1" s="1"/>
  <c r="C49" i="1"/>
  <c r="B49" i="1"/>
  <c r="AL48" i="1"/>
  <c r="AI48" i="1"/>
  <c r="AC48" i="1"/>
  <c r="AD48" i="1" s="1"/>
  <c r="X48" i="1"/>
  <c r="Y48" i="1" s="1"/>
  <c r="L48" i="1"/>
  <c r="D48" i="1"/>
  <c r="E48" i="1" s="1"/>
  <c r="AL41" i="1"/>
  <c r="AK41" i="1"/>
  <c r="AI41" i="1"/>
  <c r="AC41" i="1"/>
  <c r="AD41" i="1" s="1"/>
  <c r="X41" i="1"/>
  <c r="Y41" i="1" s="1"/>
  <c r="N41" i="1"/>
  <c r="D41" i="1"/>
  <c r="E41" i="1" s="1"/>
  <c r="AL40" i="1"/>
  <c r="AK40" i="1"/>
  <c r="AC40" i="1"/>
  <c r="AD40" i="1" s="1"/>
  <c r="X40" i="1"/>
  <c r="N40" i="1"/>
  <c r="D40" i="1"/>
  <c r="AL39" i="1"/>
  <c r="AI39" i="1"/>
  <c r="AC39" i="1"/>
  <c r="AD39" i="1" s="1"/>
  <c r="X39" i="1"/>
  <c r="Y39" i="1" s="1"/>
  <c r="L39" i="1"/>
  <c r="N39" i="1" s="1"/>
  <c r="O39" i="1" s="1"/>
  <c r="D39" i="1"/>
  <c r="E39" i="1" s="1"/>
  <c r="AL33" i="1"/>
  <c r="AK33" i="1"/>
  <c r="AI33" i="1"/>
  <c r="AH33" i="1"/>
  <c r="AD33" i="1"/>
  <c r="AC33" i="1"/>
  <c r="Y33" i="1"/>
  <c r="X33" i="1"/>
  <c r="O33" i="1"/>
  <c r="N33" i="1"/>
  <c r="E33" i="1"/>
  <c r="D33" i="1"/>
  <c r="AL30" i="1"/>
  <c r="AH30" i="1"/>
  <c r="AI30" i="1" s="1"/>
  <c r="AC30" i="1"/>
  <c r="AD30" i="1" s="1"/>
  <c r="L30" i="1"/>
  <c r="N30" i="1" s="1"/>
  <c r="O30" i="1" s="1"/>
  <c r="D30" i="1"/>
  <c r="E30" i="1" s="1"/>
  <c r="AL29" i="1"/>
  <c r="AH29" i="1"/>
  <c r="AI29" i="1" s="1"/>
  <c r="AC29" i="1"/>
  <c r="AD29" i="1" s="1"/>
  <c r="X29" i="1"/>
  <c r="Y29" i="1" s="1"/>
  <c r="L29" i="1"/>
  <c r="D29" i="1"/>
  <c r="E29" i="1" s="1"/>
  <c r="AL26" i="1"/>
  <c r="AH26" i="1"/>
  <c r="AI26" i="1" s="1"/>
  <c r="AC26" i="1"/>
  <c r="AD26" i="1" s="1"/>
  <c r="X26" i="1"/>
  <c r="Y26" i="1" s="1"/>
  <c r="L26" i="1"/>
  <c r="L78" i="1" s="1"/>
  <c r="D26" i="1"/>
  <c r="E26" i="1" s="1"/>
  <c r="AL24" i="1"/>
  <c r="AH24" i="1"/>
  <c r="AI24" i="1" s="1"/>
  <c r="AC24" i="1"/>
  <c r="AD24" i="1" s="1"/>
  <c r="X24" i="1"/>
  <c r="Y24" i="1" s="1"/>
  <c r="L24" i="1"/>
  <c r="AK24" i="1" s="1"/>
  <c r="D24" i="1"/>
  <c r="E24" i="1" s="1"/>
  <c r="AL22" i="1"/>
  <c r="AK22" i="1"/>
  <c r="AH22" i="1"/>
  <c r="AI22" i="1" s="1"/>
  <c r="AC22" i="1"/>
  <c r="AD22" i="1" s="1"/>
  <c r="X22" i="1"/>
  <c r="Y22" i="1" s="1"/>
  <c r="N22" i="1"/>
  <c r="D22" i="1"/>
  <c r="E22" i="1" s="1"/>
  <c r="AG21" i="1"/>
  <c r="AG23" i="1" s="1"/>
  <c r="AF21" i="1"/>
  <c r="AF23" i="1" s="1"/>
  <c r="AH23" i="1" s="1"/>
  <c r="AI23" i="1" s="1"/>
  <c r="AB21" i="1"/>
  <c r="AB23" i="1" s="1"/>
  <c r="AB25" i="1" s="1"/>
  <c r="AA21" i="1"/>
  <c r="AC21" i="1" s="1"/>
  <c r="AD21" i="1" s="1"/>
  <c r="W21" i="1"/>
  <c r="W23" i="1" s="1"/>
  <c r="V21" i="1"/>
  <c r="V23" i="1" s="1"/>
  <c r="V28" i="1" s="1"/>
  <c r="C21" i="1"/>
  <c r="B21" i="1"/>
  <c r="B23" i="1" s="1"/>
  <c r="AL20" i="1"/>
  <c r="AK20" i="1"/>
  <c r="AM20" i="1" s="1"/>
  <c r="AH20" i="1"/>
  <c r="AC20" i="1"/>
  <c r="X20" i="1"/>
  <c r="N20" i="1"/>
  <c r="D20" i="1"/>
  <c r="AL19" i="1"/>
  <c r="AK19" i="1"/>
  <c r="AH19" i="1"/>
  <c r="AC19" i="1"/>
  <c r="X19" i="1"/>
  <c r="N19" i="1"/>
  <c r="D19" i="1"/>
  <c r="AL18" i="1"/>
  <c r="AK18" i="1"/>
  <c r="AH18" i="1"/>
  <c r="AI18" i="1" s="1"/>
  <c r="AC18" i="1"/>
  <c r="AD18" i="1" s="1"/>
  <c r="X18" i="1"/>
  <c r="Y18" i="1" s="1"/>
  <c r="N18" i="1"/>
  <c r="D18" i="1"/>
  <c r="E18" i="1" s="1"/>
  <c r="AL17" i="1"/>
  <c r="AK17" i="1"/>
  <c r="AH17" i="1"/>
  <c r="AI17" i="1" s="1"/>
  <c r="AC17" i="1"/>
  <c r="AD17" i="1" s="1"/>
  <c r="X17" i="1"/>
  <c r="Y17" i="1" s="1"/>
  <c r="N17" i="1"/>
  <c r="D17" i="1"/>
  <c r="E17" i="1" s="1"/>
  <c r="AL16" i="1"/>
  <c r="AL56" i="1" s="1"/>
  <c r="AK16" i="1"/>
  <c r="AH16" i="1"/>
  <c r="AI16" i="1" s="1"/>
  <c r="AC16" i="1"/>
  <c r="AD16" i="1" s="1"/>
  <c r="X16" i="1"/>
  <c r="Y16" i="1" s="1"/>
  <c r="N16" i="1"/>
  <c r="D16" i="1"/>
  <c r="E16" i="1" s="1"/>
  <c r="AL15" i="1"/>
  <c r="AH15" i="1"/>
  <c r="AI15" i="1" s="1"/>
  <c r="AC15" i="1"/>
  <c r="AD15" i="1" s="1"/>
  <c r="X15" i="1"/>
  <c r="Y15" i="1" s="1"/>
  <c r="L15" i="1"/>
  <c r="D15" i="1"/>
  <c r="E15" i="1" s="1"/>
  <c r="A3" i="1"/>
  <c r="A2" i="1"/>
  <c r="AM18" i="1" l="1"/>
  <c r="AN18" i="1" s="1"/>
  <c r="N78" i="1"/>
  <c r="O78" i="1" s="1"/>
  <c r="AL49" i="1"/>
  <c r="AM79" i="1"/>
  <c r="AN79" i="1" s="1"/>
  <c r="AK30" i="1"/>
  <c r="AM30" i="1" s="1"/>
  <c r="AN30" i="1" s="1"/>
  <c r="AL52" i="1"/>
  <c r="AK39" i="1"/>
  <c r="AM39" i="1" s="1"/>
  <c r="AN39" i="1" s="1"/>
  <c r="AL68" i="1"/>
  <c r="AL71" i="1" s="1"/>
  <c r="AD70" i="1"/>
  <c r="N77" i="1"/>
  <c r="O77" i="1" s="1"/>
  <c r="AC52" i="1"/>
  <c r="AD52" i="1" s="1"/>
  <c r="D49" i="1"/>
  <c r="E49" i="1" s="1"/>
  <c r="AM17" i="1"/>
  <c r="AN17" i="1" s="1"/>
  <c r="AM22" i="1"/>
  <c r="AN22" i="1" s="1"/>
  <c r="X52" i="1"/>
  <c r="W25" i="1"/>
  <c r="W27" i="1"/>
  <c r="X21" i="1"/>
  <c r="Y21" i="1" s="1"/>
  <c r="AM60" i="1"/>
  <c r="AN60" i="1" s="1"/>
  <c r="D67" i="1"/>
  <c r="E67" i="1" s="1"/>
  <c r="AC49" i="1"/>
  <c r="AD49" i="1" s="1"/>
  <c r="D60" i="1"/>
  <c r="E60" i="1" s="1"/>
  <c r="L70" i="1"/>
  <c r="O70" i="1" s="1"/>
  <c r="AM68" i="1"/>
  <c r="AN68" i="1" s="1"/>
  <c r="D72" i="1"/>
  <c r="E72" i="1" s="1"/>
  <c r="AL77" i="1"/>
  <c r="AL21" i="1"/>
  <c r="AL23" i="1" s="1"/>
  <c r="AL28" i="1" s="1"/>
  <c r="AL31" i="1" s="1"/>
  <c r="AL32" i="1" s="1"/>
  <c r="L72" i="1"/>
  <c r="N72" i="1" s="1"/>
  <c r="O72" i="1" s="1"/>
  <c r="AM41" i="1"/>
  <c r="AN41" i="1" s="1"/>
  <c r="N26" i="1"/>
  <c r="O26" i="1" s="1"/>
  <c r="AN74" i="1"/>
  <c r="AK67" i="1"/>
  <c r="AK70" i="1" s="1"/>
  <c r="AK26" i="1"/>
  <c r="AK78" i="1" s="1"/>
  <c r="C71" i="1"/>
  <c r="AM69" i="1"/>
  <c r="AN69" i="1" s="1"/>
  <c r="D71" i="1"/>
  <c r="E71" i="1" s="1"/>
  <c r="AM33" i="1"/>
  <c r="AM75" i="1"/>
  <c r="AN75" i="1" s="1"/>
  <c r="AK77" i="1"/>
  <c r="V31" i="1"/>
  <c r="N54" i="1"/>
  <c r="O54" i="1" s="1"/>
  <c r="L21" i="1"/>
  <c r="N15" i="1"/>
  <c r="O15" i="1" s="1"/>
  <c r="AK15" i="1"/>
  <c r="L71" i="1"/>
  <c r="N71" i="1" s="1"/>
  <c r="O71" i="1" s="1"/>
  <c r="AM19" i="1"/>
  <c r="AM40" i="1"/>
  <c r="AN40" i="1" s="1"/>
  <c r="AK29" i="1"/>
  <c r="AM29" i="1" s="1"/>
  <c r="AN29" i="1" s="1"/>
  <c r="N29" i="1"/>
  <c r="AG25" i="1"/>
  <c r="AG27" i="1"/>
  <c r="AM16" i="1"/>
  <c r="AN16" i="1" s="1"/>
  <c r="AK56" i="1"/>
  <c r="AH21" i="1"/>
  <c r="AI21" i="1" s="1"/>
  <c r="AB28" i="1"/>
  <c r="AB31" i="1" s="1"/>
  <c r="AB27" i="1"/>
  <c r="X23" i="1"/>
  <c r="Y23" i="1" s="1"/>
  <c r="V25" i="1"/>
  <c r="Y25" i="1" s="1"/>
  <c r="C23" i="1"/>
  <c r="D21" i="1"/>
  <c r="E21" i="1" s="1"/>
  <c r="AK48" i="1"/>
  <c r="L49" i="1"/>
  <c r="N49" i="1" s="1"/>
  <c r="N48" i="1"/>
  <c r="O48" i="1" s="1"/>
  <c r="AF28" i="1"/>
  <c r="AF25" i="1"/>
  <c r="AI25" i="1" s="1"/>
  <c r="AF27" i="1"/>
  <c r="AM24" i="1"/>
  <c r="AN24" i="1" s="1"/>
  <c r="W28" i="1"/>
  <c r="W31" i="1" s="1"/>
  <c r="AG28" i="1"/>
  <c r="AG31" i="1" s="1"/>
  <c r="V27" i="1"/>
  <c r="Y27" i="1" s="1"/>
  <c r="AK51" i="1"/>
  <c r="AK52" i="1" s="1"/>
  <c r="L52" i="1"/>
  <c r="N52" i="1" s="1"/>
  <c r="O52" i="1" s="1"/>
  <c r="N51" i="1"/>
  <c r="O51" i="1" s="1"/>
  <c r="AK59" i="1"/>
  <c r="AM59" i="1" s="1"/>
  <c r="AN59" i="1" s="1"/>
  <c r="E74" i="1"/>
  <c r="AK63" i="1"/>
  <c r="AM63" i="1" s="1"/>
  <c r="AN63" i="1" s="1"/>
  <c r="N68" i="1"/>
  <c r="O68" i="1" s="1"/>
  <c r="AA23" i="1"/>
  <c r="N24" i="1"/>
  <c r="O24" i="1" s="1"/>
  <c r="AK62" i="1"/>
  <c r="AM62" i="1" s="1"/>
  <c r="AN62" i="1" s="1"/>
  <c r="AL78" i="1"/>
  <c r="B27" i="1"/>
  <c r="B25" i="1"/>
  <c r="B28" i="1"/>
  <c r="D52" i="1"/>
  <c r="E52" i="1" s="1"/>
  <c r="C70" i="1"/>
  <c r="E70" i="1" s="1"/>
  <c r="AL67" i="1"/>
  <c r="N67" i="1"/>
  <c r="O67" i="1" s="1"/>
  <c r="AM77" i="1" l="1"/>
  <c r="AN77" i="1" s="1"/>
  <c r="AL25" i="1"/>
  <c r="AL70" i="1"/>
  <c r="AN70" i="1" s="1"/>
  <c r="AM26" i="1"/>
  <c r="AN26" i="1" s="1"/>
  <c r="AL34" i="1"/>
  <c r="AL35" i="1" s="1"/>
  <c r="AL27" i="1"/>
  <c r="AM67" i="1"/>
  <c r="AN67" i="1" s="1"/>
  <c r="AK72" i="1"/>
  <c r="AI27" i="1"/>
  <c r="AK21" i="1"/>
  <c r="AK71" i="1"/>
  <c r="AM71" i="1" s="1"/>
  <c r="AN71" i="1" s="1"/>
  <c r="AM15" i="1"/>
  <c r="AN15" i="1" s="1"/>
  <c r="AG34" i="1"/>
  <c r="AG35" i="1" s="1"/>
  <c r="AG32" i="1"/>
  <c r="AK49" i="1"/>
  <c r="AA28" i="1"/>
  <c r="AC23" i="1"/>
  <c r="AD23" i="1" s="1"/>
  <c r="AA27" i="1"/>
  <c r="AD27" i="1" s="1"/>
  <c r="AA25" i="1"/>
  <c r="AD25" i="1" s="1"/>
  <c r="AM78" i="1"/>
  <c r="AN78" i="1" s="1"/>
  <c r="N21" i="1"/>
  <c r="O21" i="1" s="1"/>
  <c r="L23" i="1"/>
  <c r="AL72" i="1"/>
  <c r="W32" i="1"/>
  <c r="W34" i="1"/>
  <c r="W35" i="1" s="1"/>
  <c r="C27" i="1"/>
  <c r="E27" i="1" s="1"/>
  <c r="C28" i="1"/>
  <c r="C31" i="1" s="1"/>
  <c r="C25" i="1"/>
  <c r="E25" i="1" s="1"/>
  <c r="B31" i="1"/>
  <c r="D28" i="1"/>
  <c r="E28" i="1" s="1"/>
  <c r="AF31" i="1"/>
  <c r="AH28" i="1"/>
  <c r="AI28" i="1" s="1"/>
  <c r="X28" i="1"/>
  <c r="Y28" i="1" s="1"/>
  <c r="AB32" i="1"/>
  <c r="AB34" i="1"/>
  <c r="AB35" i="1" s="1"/>
  <c r="D23" i="1"/>
  <c r="E23" i="1" s="1"/>
  <c r="V34" i="1"/>
  <c r="V32" i="1"/>
  <c r="X31" i="1"/>
  <c r="Y31" i="1" s="1"/>
  <c r="Y32" i="1" l="1"/>
  <c r="AM72" i="1"/>
  <c r="AN72" i="1" s="1"/>
  <c r="V35" i="1"/>
  <c r="Y35" i="1" s="1"/>
  <c r="X34" i="1"/>
  <c r="Y34" i="1" s="1"/>
  <c r="B34" i="1"/>
  <c r="B32" i="1"/>
  <c r="D31" i="1"/>
  <c r="E31" i="1" s="1"/>
  <c r="AA31" i="1"/>
  <c r="AC28" i="1"/>
  <c r="AD28" i="1" s="1"/>
  <c r="AF32" i="1"/>
  <c r="AI32" i="1" s="1"/>
  <c r="AH31" i="1"/>
  <c r="AI31" i="1" s="1"/>
  <c r="AF34" i="1"/>
  <c r="C32" i="1"/>
  <c r="C34" i="1"/>
  <c r="C35" i="1" s="1"/>
  <c r="L27" i="1"/>
  <c r="O27" i="1" s="1"/>
  <c r="N23" i="1"/>
  <c r="O23" i="1" s="1"/>
  <c r="L28" i="1"/>
  <c r="L25" i="1"/>
  <c r="O25" i="1" s="1"/>
  <c r="AK23" i="1"/>
  <c r="AM21" i="1"/>
  <c r="AN21" i="1" s="1"/>
  <c r="AC31" i="1" l="1"/>
  <c r="AD31" i="1" s="1"/>
  <c r="AA32" i="1"/>
  <c r="AD32" i="1" s="1"/>
  <c r="AA34" i="1"/>
  <c r="E32" i="1"/>
  <c r="AH34" i="1"/>
  <c r="AI34" i="1" s="1"/>
  <c r="AF35" i="1"/>
  <c r="AI35" i="1" s="1"/>
  <c r="AM23" i="1"/>
  <c r="AN23" i="1" s="1"/>
  <c r="AK28" i="1"/>
  <c r="AK27" i="1"/>
  <c r="AN27" i="1" s="1"/>
  <c r="AK25" i="1"/>
  <c r="AN25" i="1" s="1"/>
  <c r="L31" i="1"/>
  <c r="N28" i="1"/>
  <c r="O28" i="1" s="1"/>
  <c r="D34" i="1"/>
  <c r="E34" i="1" s="1"/>
  <c r="B35" i="1"/>
  <c r="E35" i="1" s="1"/>
  <c r="AK31" i="1" l="1"/>
  <c r="AM28" i="1"/>
  <c r="AN28" i="1" s="1"/>
  <c r="L34" i="1"/>
  <c r="L32" i="1"/>
  <c r="O32" i="1" s="1"/>
  <c r="N31" i="1"/>
  <c r="O31" i="1" s="1"/>
  <c r="AC34" i="1"/>
  <c r="AD34" i="1" s="1"/>
  <c r="AA35" i="1"/>
  <c r="AD35" i="1" s="1"/>
  <c r="L35" i="1" l="1"/>
  <c r="O35" i="1" s="1"/>
  <c r="N34" i="1"/>
  <c r="O34" i="1" s="1"/>
  <c r="AK34" i="1"/>
  <c r="AM31" i="1"/>
  <c r="AN31" i="1" s="1"/>
  <c r="AK32" i="1"/>
  <c r="AN32" i="1" s="1"/>
  <c r="AK35" i="1" l="1"/>
  <c r="AN35" i="1" s="1"/>
  <c r="AM34" i="1"/>
  <c r="AN34" i="1" s="1"/>
</calcChain>
</file>

<file path=xl/sharedStrings.xml><?xml version="1.0" encoding="utf-8"?>
<sst xmlns="http://schemas.openxmlformats.org/spreadsheetml/2006/main" count="112" uniqueCount="78">
  <si>
    <t>ARMM</t>
  </si>
  <si>
    <t>(In Thousand)</t>
  </si>
  <si>
    <t>BASELCO</t>
  </si>
  <si>
    <t>LASURECO</t>
  </si>
  <si>
    <t>SIASELCO</t>
  </si>
  <si>
    <t>SULECO</t>
  </si>
  <si>
    <t>TAWELCO</t>
  </si>
  <si>
    <t>T O T A L</t>
  </si>
  <si>
    <t>Inc. / (Dec.)</t>
  </si>
  <si>
    <t>Inc. / (Dec)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</si>
  <si>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</si>
  <si>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</si>
  <si>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</si>
  <si>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</si>
  <si>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</si>
  <si>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</si>
  <si>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</si>
  <si>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</si>
  <si>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</si>
  <si>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</si>
  <si>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</si>
  <si>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</si>
  <si>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</si>
  <si>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</si>
  <si>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</si>
  <si>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</si>
  <si>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</si>
  <si>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</si>
  <si>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</si>
  <si>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</si>
  <si>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</si>
  <si>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</si>
  <si>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</si>
  <si>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</si>
  <si>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</si>
  <si>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</si>
  <si>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</si>
  <si>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</si>
  <si>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</si>
  <si>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</si>
  <si>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</si>
  <si>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</si>
  <si>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</si>
  <si>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</si>
  <si>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</si>
  <si>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</si>
  <si>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</si>
  <si>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</si>
  <si>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</si>
  <si>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</si>
  <si>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</si>
  <si>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</si>
  <si>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</si>
  <si>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</si>
  <si>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</si>
  <si>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</si>
  <si>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</si>
  <si>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</si>
  <si>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</si>
  <si>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</si>
  <si>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</si>
  <si>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</si>
  <si>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</si>
  <si>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</si>
  <si>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</si>
  <si>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</si>
  <si>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</si>
  <si>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</si>
  <si>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</si>
  <si>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</si>
  <si>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</si>
  <si>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D - Large</t>
  </si>
  <si>
    <t>D - Small</t>
  </si>
  <si>
    <t>D - Mega Large</t>
  </si>
  <si>
    <t>B - Large</t>
  </si>
  <si>
    <t>D - Medium</t>
  </si>
  <si>
    <t>*Average Collection Efficiency Includes outstanding power bills of member-consumer-owners</t>
  </si>
  <si>
    <t xml:space="preserve">  Average Collection Efficiency (%)*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</si>
</sst>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.0000_)"/>
  </numFmts>
  <fonts count="13" x14ac:knownFonts="1">
    <font>
      <sz val="1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43" fontId="2" fillId="0" borderId="0" xfId="1" applyNumberFormat="1" applyFont="1"/>
    <xf numFmtId="43" fontId="2" fillId="0" borderId="0" xfId="1" applyNumberFormat="1" applyFont="1" applyFill="1"/>
    <xf numFmtId="164" fontId="2" fillId="0" borderId="0" xfId="0" applyNumberFormat="1" applyFont="1"/>
    <xf numFmtId="164" fontId="9" fillId="0" borderId="0" xfId="0" applyNumberFormat="1" applyFont="1"/>
    <xf numFmtId="0" fontId="2" fillId="0" borderId="0" xfId="0" applyFont="1" applyAlignment="1">
      <alignment horizontal="left"/>
    </xf>
    <xf numFmtId="43" fontId="2" fillId="0" borderId="0" xfId="1" applyFont="1" applyFill="1"/>
    <xf numFmtId="165" fontId="2" fillId="0" borderId="0" xfId="0" applyNumberFormat="1" applyFont="1"/>
    <xf numFmtId="164" fontId="10" fillId="0" borderId="0" xfId="0" applyNumberFormat="1" applyFont="1"/>
    <xf numFmtId="164" fontId="2" fillId="0" borderId="0" xfId="1" applyNumberFormat="1" applyFont="1" applyAlignment="1">
      <alignment horizontal="right"/>
    </xf>
    <xf numFmtId="37" fontId="2" fillId="0" borderId="0" xfId="0" applyNumberFormat="1" applyFont="1"/>
    <xf numFmtId="39" fontId="2" fillId="0" borderId="0" xfId="0" applyNumberFormat="1" applyFont="1"/>
    <xf numFmtId="164" fontId="11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43" fontId="2" fillId="0" borderId="0" xfId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left"/>
    </xf>
    <xf numFmtId="164" fontId="12" fillId="0" borderId="0" xfId="1" applyNumberFormat="1" applyFont="1" applyFill="1"/>
    <xf numFmtId="166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7" fillId="0" borderId="0" xfId="1" applyNumberFormat="1" applyFont="1"/>
    <xf numFmtId="164" fontId="3" fillId="0" borderId="0" xfId="1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11" fillId="0" borderId="0" xfId="0" applyNumberFormat="1" applyFont="1" applyAlignment="1">
      <alignment horizontal="left"/>
    </xf>
    <xf numFmtId="43" fontId="12" fillId="0" borderId="0" xfId="1" applyNumberFormat="1" applyFont="1" applyFill="1"/>
    <xf numFmtId="43" fontId="2" fillId="0" borderId="0" xfId="1" applyNumberFormat="1" applyFont="1" applyAlignment="1">
      <alignment horizontal="center"/>
    </xf>
    <xf numFmtId="43" fontId="2" fillId="0" borderId="0" xfId="1" applyNumberFormat="1" applyFont="1" applyAlignment="1">
      <alignment horizontal="right"/>
    </xf>
    <xf numFmtId="43" fontId="2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</cellXfs>
  <cellStyles count="2">
    <cellStyle name="Comma 1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sagunjgd\Desktop\Consolidated%20Financial%20Profile%20as%20of%20June%2030,%202023_juve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mbrogbvjr\Downloads\March%202019%20Financial%20Profi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esktop\aa\USB%20Drive\000_JUVEE's%20FILE%20(desktop)\COLLECTION%20EFFICIENCY\2022\02_June%202022%20COLL%20EFF%20final_juv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Financial Profile as of June 30, 2023</v>
          </cell>
        </row>
      </sheetData>
      <sheetData sheetId="7">
        <row r="2">
          <cell r="A2" t="str">
            <v>Financial Profile as of June 30, 2023</v>
          </cell>
        </row>
      </sheetData>
      <sheetData sheetId="8" refreshError="1"/>
      <sheetData sheetId="9" refreshError="1"/>
      <sheetData sheetId="10">
        <row r="2">
          <cell r="A2" t="str">
            <v>Financial Profile as of June 30, 2023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Financial Profile as of June 30, 2023</v>
          </cell>
        </row>
      </sheetData>
      <sheetData sheetId="17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49">
          <cell r="D149">
            <v>23353.748860000003</v>
          </cell>
          <cell r="E149">
            <v>21427.007239999999</v>
          </cell>
          <cell r="F149">
            <v>1926.7416200000043</v>
          </cell>
          <cell r="I149">
            <v>0.77728648280119028</v>
          </cell>
          <cell r="K149">
            <v>73030.526559999998</v>
          </cell>
        </row>
        <row r="151">
          <cell r="D151">
            <v>269927.26741000003</v>
          </cell>
          <cell r="E151">
            <v>21813.982640000002</v>
          </cell>
          <cell r="F151">
            <v>248113.28477000003</v>
          </cell>
          <cell r="I151">
            <v>67.121585824957123</v>
          </cell>
          <cell r="K151">
            <v>276521.92483999999</v>
          </cell>
        </row>
        <row r="153">
          <cell r="D153">
            <v>5842.9277699999993</v>
          </cell>
          <cell r="E153">
            <v>5087.6362600000002</v>
          </cell>
          <cell r="F153">
            <v>755.29150999999911</v>
          </cell>
          <cell r="I153">
            <v>0</v>
          </cell>
          <cell r="K153">
            <v>12789.926509999999</v>
          </cell>
        </row>
        <row r="154">
          <cell r="D154">
            <v>46399.455179999997</v>
          </cell>
          <cell r="E154">
            <v>47440.669070000004</v>
          </cell>
          <cell r="F154">
            <v>-1041.2138900000064</v>
          </cell>
          <cell r="I154">
            <v>-1.1346401608438925</v>
          </cell>
          <cell r="K154">
            <v>23681.546109999999</v>
          </cell>
        </row>
        <row r="155">
          <cell r="D155">
            <v>39837.83339</v>
          </cell>
          <cell r="E155">
            <v>40084.284850000004</v>
          </cell>
          <cell r="F155">
            <v>-246.45146000000386</v>
          </cell>
          <cell r="I155">
            <v>-0.21706574996675454</v>
          </cell>
          <cell r="K155">
            <v>34320.994210000004</v>
          </cell>
        </row>
        <row r="156">
          <cell r="I156">
            <v>25.05013286736872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97">
          <cell r="AH97" t="str">
            <v>620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COLL EFF YELLOW ECs"/>
      <sheetName val="02_June 2022 COLL EFF final_juv"/>
    </sheetNames>
    <sheetDataSet>
      <sheetData sheetId="0" refreshError="1">
        <row r="13">
          <cell r="D13">
            <v>94.019676557229076</v>
          </cell>
        </row>
        <row r="125">
          <cell r="D125">
            <v>66.395985637504253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P105"/>
  <sheetViews>
    <sheetView tabSelected="1" zoomScale="70" zoomScaleNormal="70" zoomScaleSheetLayoutView="70" workbookViewId="0">
      <pane xSplit="1" ySplit="9" topLeftCell="B65" activePane="bottomRight" state="frozen"/>
      <selection activeCell="C83" sqref="C83"/>
      <selection pane="topRight" activeCell="C83" sqref="C83"/>
      <selection pane="bottomLeft" activeCell="C83" sqref="C83"/>
      <selection pane="bottomRight" activeCell="A85" sqref="A85"/>
    </sheetView>
  </sheetViews>
  <sheetFormatPr defaultColWidth="9.109375" defaultRowHeight="15" x14ac:dyDescent="0.25"/>
  <cols>
    <col min="1" max="1" width="44.6640625" style="3" customWidth="1"/>
    <col min="2" max="3" width="16.33203125" style="3" customWidth="1"/>
    <col min="4" max="4" width="14.5546875" style="3" bestFit="1" customWidth="1"/>
    <col min="5" max="5" width="13.88671875" style="3" bestFit="1" customWidth="1"/>
    <col min="6" max="6" width="1.44140625" style="3" customWidth="1"/>
    <col min="7" max="8" width="9.6640625" style="3" hidden="1" customWidth="1"/>
    <col min="9" max="9" width="6.44140625" style="3" hidden="1" customWidth="1"/>
    <col min="10" max="10" width="8.88671875" style="3" hidden="1" customWidth="1"/>
    <col min="11" max="11" width="1.44140625" style="3" hidden="1" customWidth="1"/>
    <col min="12" max="12" width="17.5546875" style="3" customWidth="1"/>
    <col min="13" max="13" width="14.33203125" style="3" customWidth="1"/>
    <col min="14" max="14" width="17.5546875" style="3" bestFit="1" customWidth="1"/>
    <col min="15" max="15" width="9.33203125" style="3" customWidth="1"/>
    <col min="16" max="16" width="1.44140625" style="3" customWidth="1"/>
    <col min="17" max="18" width="12.88671875" style="3" hidden="1" customWidth="1"/>
    <col min="19" max="19" width="11.5546875" style="3" hidden="1" customWidth="1"/>
    <col min="20" max="20" width="9.6640625" style="3" hidden="1" customWidth="1"/>
    <col min="21" max="21" width="1.44140625" style="3" hidden="1" customWidth="1"/>
    <col min="22" max="23" width="12.88671875" style="3" customWidth="1"/>
    <col min="24" max="24" width="13.6640625" style="3" bestFit="1" customWidth="1"/>
    <col min="25" max="25" width="10.44140625" style="3" bestFit="1" customWidth="1"/>
    <col min="26" max="26" width="1.44140625" style="3" customWidth="1"/>
    <col min="27" max="28" width="16.33203125" style="3" customWidth="1"/>
    <col min="29" max="29" width="13.6640625" style="3" bestFit="1" customWidth="1"/>
    <col min="30" max="30" width="11.5546875" style="3" bestFit="1" customWidth="1"/>
    <col min="31" max="31" width="1.44140625" style="3" customWidth="1"/>
    <col min="32" max="32" width="16.33203125" style="3" bestFit="1" customWidth="1"/>
    <col min="33" max="33" width="17.44140625" style="3" bestFit="1" customWidth="1"/>
    <col min="34" max="34" width="17" style="3" bestFit="1" customWidth="1"/>
    <col min="35" max="35" width="10.44140625" style="3" bestFit="1" customWidth="1"/>
    <col min="36" max="36" width="1.44140625" style="3" customWidth="1"/>
    <col min="37" max="38" width="16.33203125" style="3" customWidth="1"/>
    <col min="39" max="39" width="17" style="3" customWidth="1"/>
    <col min="40" max="40" width="9.109375" style="3" customWidth="1"/>
    <col min="41" max="41" width="12.5546875" style="3" customWidth="1"/>
    <col min="42" max="42" width="21.5546875" style="3" customWidth="1"/>
    <col min="43" max="57" width="12.5546875" style="3" customWidth="1"/>
    <col min="58" max="16384" width="9.109375" style="3"/>
  </cols>
  <sheetData>
    <row r="1" spans="1:40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customHeight="1" x14ac:dyDescent="0.3">
      <c r="A2" s="1" t="str">
        <f>[4]REG9!A2</f>
        <v>Financial Profile as of June 30, 2023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 customHeight="1" x14ac:dyDescent="0.3">
      <c r="A3" s="1" t="str">
        <f>[4]REG9!A3</f>
        <v>With Comparative Figures as of June 30, 2022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 x14ac:dyDescent="0.3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2"/>
      <c r="O4" s="2"/>
      <c r="P4" s="2"/>
      <c r="Q4" s="2"/>
      <c r="R4" s="2"/>
      <c r="S4" s="6"/>
      <c r="T4" s="2"/>
      <c r="U4" s="2"/>
      <c r="V4" s="2"/>
      <c r="W4" s="2"/>
      <c r="X4" s="2"/>
      <c r="Y4" s="2"/>
      <c r="Z4" s="2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.6" x14ac:dyDescent="0.3">
      <c r="A5" s="2"/>
      <c r="B5" s="42"/>
      <c r="C5" s="42"/>
      <c r="D5" s="42"/>
      <c r="E5" s="42"/>
      <c r="F5" s="6"/>
      <c r="G5" s="43"/>
      <c r="H5" s="43"/>
      <c r="I5" s="43"/>
      <c r="J5" s="43"/>
      <c r="K5" s="2"/>
      <c r="L5" s="42"/>
      <c r="M5" s="42"/>
      <c r="N5" s="42"/>
      <c r="O5" s="42"/>
      <c r="P5" s="2"/>
      <c r="Q5" s="43"/>
      <c r="R5" s="43"/>
      <c r="S5" s="43"/>
      <c r="T5" s="43"/>
      <c r="U5" s="2"/>
      <c r="V5" s="43"/>
      <c r="W5" s="43"/>
      <c r="X5" s="43"/>
      <c r="Y5" s="43"/>
      <c r="Z5" s="2"/>
      <c r="AA5" s="42"/>
      <c r="AB5" s="42"/>
      <c r="AC5" s="42"/>
      <c r="AD5" s="42"/>
      <c r="AE5" s="2"/>
      <c r="AF5" s="6"/>
      <c r="AG5" s="6"/>
      <c r="AH5" s="6"/>
      <c r="AI5" s="6"/>
      <c r="AJ5" s="2"/>
      <c r="AK5" s="6"/>
      <c r="AL5" s="6"/>
      <c r="AM5" s="6"/>
      <c r="AN5" s="6"/>
    </row>
    <row r="6" spans="1:40" ht="15.6" x14ac:dyDescent="0.3">
      <c r="A6" s="2"/>
      <c r="B6" s="42" t="s">
        <v>2</v>
      </c>
      <c r="C6" s="42"/>
      <c r="D6" s="42"/>
      <c r="E6" s="42"/>
      <c r="F6" s="6"/>
      <c r="G6" s="43"/>
      <c r="H6" s="43"/>
      <c r="I6" s="43"/>
      <c r="J6" s="43"/>
      <c r="K6" s="2"/>
      <c r="L6" s="42" t="s">
        <v>3</v>
      </c>
      <c r="M6" s="42"/>
      <c r="N6" s="42"/>
      <c r="O6" s="42"/>
      <c r="P6" s="2"/>
      <c r="Q6" s="43"/>
      <c r="R6" s="43"/>
      <c r="S6" s="43"/>
      <c r="T6" s="43"/>
      <c r="U6" s="2"/>
      <c r="V6" s="44" t="s">
        <v>4</v>
      </c>
      <c r="W6" s="44"/>
      <c r="X6" s="44"/>
      <c r="Y6" s="44"/>
      <c r="Z6" s="2"/>
      <c r="AA6" s="42" t="s">
        <v>5</v>
      </c>
      <c r="AB6" s="42"/>
      <c r="AC6" s="42"/>
      <c r="AD6" s="42"/>
      <c r="AE6" s="2"/>
      <c r="AF6" s="42" t="s">
        <v>6</v>
      </c>
      <c r="AG6" s="42"/>
      <c r="AH6" s="42"/>
      <c r="AI6" s="42"/>
      <c r="AJ6" s="2"/>
      <c r="AK6" s="42" t="s">
        <v>7</v>
      </c>
      <c r="AL6" s="42"/>
      <c r="AM6" s="42"/>
      <c r="AN6" s="42"/>
    </row>
    <row r="7" spans="1:40" ht="15" customHeight="1" x14ac:dyDescent="0.3">
      <c r="A7" s="2"/>
      <c r="G7" s="2"/>
      <c r="H7" s="2"/>
      <c r="I7" s="2"/>
      <c r="J7" s="2"/>
      <c r="K7" s="2"/>
      <c r="L7" s="2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6.95" customHeight="1" x14ac:dyDescent="0.25">
      <c r="B8" s="8">
        <v>2023</v>
      </c>
      <c r="C8" s="8">
        <v>2022</v>
      </c>
      <c r="D8" s="41" t="s">
        <v>8</v>
      </c>
      <c r="E8" s="41"/>
      <c r="F8" s="8"/>
      <c r="G8" s="8"/>
      <c r="H8" s="8"/>
      <c r="I8" s="41"/>
      <c r="J8" s="41"/>
      <c r="L8" s="8">
        <v>2023</v>
      </c>
      <c r="M8" s="8">
        <v>2022</v>
      </c>
      <c r="N8" s="41" t="s">
        <v>9</v>
      </c>
      <c r="O8" s="41"/>
      <c r="Q8" s="8"/>
      <c r="R8" s="8"/>
      <c r="S8" s="41"/>
      <c r="T8" s="41"/>
      <c r="V8" s="8">
        <v>2023</v>
      </c>
      <c r="W8" s="8">
        <v>2022</v>
      </c>
      <c r="X8" s="41" t="s">
        <v>9</v>
      </c>
      <c r="Y8" s="41"/>
      <c r="AA8" s="8">
        <v>2023</v>
      </c>
      <c r="AB8" s="8">
        <v>2022</v>
      </c>
      <c r="AC8" s="41" t="s">
        <v>9</v>
      </c>
      <c r="AD8" s="41"/>
      <c r="AF8" s="8">
        <v>2023</v>
      </c>
      <c r="AG8" s="8">
        <v>2022</v>
      </c>
      <c r="AH8" s="41" t="s">
        <v>9</v>
      </c>
      <c r="AI8" s="41"/>
      <c r="AK8" s="8">
        <v>2023</v>
      </c>
      <c r="AL8" s="8">
        <v>2022</v>
      </c>
      <c r="AM8" s="41" t="s">
        <v>9</v>
      </c>
      <c r="AN8" s="41"/>
    </row>
    <row r="9" spans="1:40" x14ac:dyDescent="0.25">
      <c r="B9" s="8" t="s">
        <v>10</v>
      </c>
      <c r="C9" s="8" t="s">
        <v>10</v>
      </c>
      <c r="D9" s="8" t="s">
        <v>11</v>
      </c>
      <c r="E9" s="8" t="s">
        <v>12</v>
      </c>
      <c r="F9" s="8"/>
      <c r="G9" s="8"/>
      <c r="H9" s="8"/>
      <c r="I9" s="8"/>
      <c r="J9" s="8"/>
      <c r="L9" s="8" t="s">
        <v>10</v>
      </c>
      <c r="M9" s="8" t="s">
        <v>10</v>
      </c>
      <c r="N9" s="8" t="s">
        <v>11</v>
      </c>
      <c r="O9" s="8" t="s">
        <v>12</v>
      </c>
      <c r="Q9" s="8"/>
      <c r="R9" s="8"/>
      <c r="S9" s="8"/>
      <c r="T9" s="8"/>
      <c r="V9" s="8" t="s">
        <v>10</v>
      </c>
      <c r="W9" s="8" t="s">
        <v>10</v>
      </c>
      <c r="X9" s="8" t="s">
        <v>11</v>
      </c>
      <c r="Y9" s="8" t="s">
        <v>12</v>
      </c>
      <c r="AA9" s="8" t="s">
        <v>10</v>
      </c>
      <c r="AB9" s="8" t="s">
        <v>10</v>
      </c>
      <c r="AC9" s="8" t="s">
        <v>11</v>
      </c>
      <c r="AD9" s="8" t="s">
        <v>12</v>
      </c>
      <c r="AF9" s="8" t="s">
        <v>10</v>
      </c>
      <c r="AG9" s="8" t="s">
        <v>10</v>
      </c>
      <c r="AH9" s="8" t="s">
        <v>11</v>
      </c>
      <c r="AI9" s="8" t="s">
        <v>12</v>
      </c>
      <c r="AK9" s="8" t="s">
        <v>10</v>
      </c>
      <c r="AL9" s="8" t="s">
        <v>10</v>
      </c>
      <c r="AM9" s="8" t="s">
        <v>11</v>
      </c>
      <c r="AN9" s="8" t="s">
        <v>12</v>
      </c>
    </row>
    <row r="12" spans="1:40" ht="15.6" x14ac:dyDescent="0.3">
      <c r="A12" s="1" t="s">
        <v>13</v>
      </c>
      <c r="AA12" s="9"/>
      <c r="AB12" s="9"/>
      <c r="AC12" s="9"/>
      <c r="AD12" s="9"/>
    </row>
    <row r="13" spans="1:40" ht="7.5" customHeight="1" x14ac:dyDescent="0.25">
      <c r="AA13" s="9"/>
      <c r="AB13" s="9"/>
      <c r="AC13" s="9"/>
      <c r="AD13" s="9"/>
    </row>
    <row r="14" spans="1:40" ht="4.5" customHeight="1" x14ac:dyDescent="0.25">
      <c r="AA14" s="9"/>
      <c r="AB14" s="9"/>
      <c r="AC14" s="9"/>
      <c r="AD14" s="9"/>
    </row>
    <row r="15" spans="1:40" s="15" customFormat="1" ht="15" customHeight="1" x14ac:dyDescent="0.25">
      <c r="A15" s="10" t="s">
        <v>14</v>
      </c>
      <c r="B15" s="11">
        <v>271992.30339999998</v>
      </c>
      <c r="C15" s="11">
        <v>243037.37150000001</v>
      </c>
      <c r="D15" s="12">
        <f>B15-C15</f>
        <v>28954.931899999967</v>
      </c>
      <c r="E15" s="12">
        <f>D15/C15*100</f>
        <v>11.913777589550653</v>
      </c>
      <c r="F15" s="12"/>
      <c r="G15" s="12"/>
      <c r="H15" s="12"/>
      <c r="I15" s="12"/>
      <c r="J15" s="12"/>
      <c r="K15" s="12"/>
      <c r="L15" s="12">
        <f>411531762.2/1000</f>
        <v>411531.7622</v>
      </c>
      <c r="M15" s="12">
        <f>440065964/1000</f>
        <v>440065.96399999998</v>
      </c>
      <c r="N15" s="12">
        <f t="shared" ref="N15:N24" si="0">L15-M15</f>
        <v>-28534.201799999981</v>
      </c>
      <c r="O15" s="12">
        <f>N15/M15*100</f>
        <v>-6.4840737830840256</v>
      </c>
      <c r="P15" s="12"/>
      <c r="Q15" s="12"/>
      <c r="R15" s="12"/>
      <c r="S15" s="12"/>
      <c r="T15" s="12"/>
      <c r="U15" s="12"/>
      <c r="V15" s="11">
        <v>29587.099099999999</v>
      </c>
      <c r="W15" s="11">
        <v>23608.212789999998</v>
      </c>
      <c r="X15" s="12">
        <f t="shared" ref="X15:X20" si="1">V15-W15</f>
        <v>5978.8863100000017</v>
      </c>
      <c r="Y15" s="12">
        <f t="shared" ref="Y15:Y24" si="2">X15/W15*100</f>
        <v>25.32545077928367</v>
      </c>
      <c r="Z15" s="12"/>
      <c r="AA15" s="11">
        <v>289570.03488000005</v>
      </c>
      <c r="AB15" s="11">
        <v>247570.39786000003</v>
      </c>
      <c r="AC15" s="12">
        <f t="shared" ref="AC15:AC20" si="3">AA15-AB15</f>
        <v>41999.637020000024</v>
      </c>
      <c r="AD15" s="12">
        <f t="shared" ref="AD15:AD24" si="4">AC15/AB15*100</f>
        <v>16.964724936036429</v>
      </c>
      <c r="AE15" s="12"/>
      <c r="AF15" s="11">
        <v>252041.95023999998</v>
      </c>
      <c r="AG15" s="11">
        <v>188401.15893999999</v>
      </c>
      <c r="AH15" s="11">
        <f t="shared" ref="AH15:AH20" si="5">AF15-AG15</f>
        <v>63640.791299999983</v>
      </c>
      <c r="AI15" s="11">
        <f t="shared" ref="AI15:AI24" si="6">AH15/AG15*100</f>
        <v>33.779405423014211</v>
      </c>
      <c r="AJ15" s="12"/>
      <c r="AK15" s="12">
        <f t="shared" ref="AK15:AL20" si="7">G15+B15+Q15+V15+AA15+AF15+L15</f>
        <v>1254723.1498199999</v>
      </c>
      <c r="AL15" s="12">
        <f t="shared" si="7"/>
        <v>1142683.10509</v>
      </c>
      <c r="AM15" s="12">
        <f t="shared" ref="AM15:AM22" si="8">AK15-AL15</f>
        <v>112040.04472999997</v>
      </c>
      <c r="AN15" s="12">
        <f t="shared" ref="AN15:AN22" si="9">AM15/AL15*100</f>
        <v>9.8049970486940445</v>
      </c>
    </row>
    <row r="16" spans="1:40" s="15" customFormat="1" ht="15" customHeight="1" x14ac:dyDescent="0.25">
      <c r="A16" s="10" t="s">
        <v>15</v>
      </c>
      <c r="B16" s="11">
        <v>10208.641609999999</v>
      </c>
      <c r="C16" s="11">
        <v>9891.6254900000004</v>
      </c>
      <c r="D16" s="12">
        <f t="shared" ref="D16:D24" si="10">B16-C16</f>
        <v>317.01611999999841</v>
      </c>
      <c r="E16" s="12">
        <f t="shared" ref="E16:E24" si="11">D16/C16*100</f>
        <v>3.2048940825801364</v>
      </c>
      <c r="F16" s="12"/>
      <c r="G16" s="12"/>
      <c r="H16" s="12"/>
      <c r="I16" s="12"/>
      <c r="J16" s="12"/>
      <c r="K16" s="12"/>
      <c r="L16" s="12">
        <v>0</v>
      </c>
      <c r="M16" s="12">
        <v>0</v>
      </c>
      <c r="N16" s="12">
        <f t="shared" si="0"/>
        <v>0</v>
      </c>
      <c r="O16" s="12"/>
      <c r="P16" s="12"/>
      <c r="Q16" s="12"/>
      <c r="R16" s="12"/>
      <c r="S16" s="12"/>
      <c r="T16" s="12"/>
      <c r="U16" s="12"/>
      <c r="V16" s="11">
        <v>1065.2564600000001</v>
      </c>
      <c r="W16" s="11">
        <v>951.33058000000005</v>
      </c>
      <c r="X16" s="12">
        <f t="shared" si="1"/>
        <v>113.92588000000001</v>
      </c>
      <c r="Y16" s="12">
        <f t="shared" si="2"/>
        <v>11.975424988440926</v>
      </c>
      <c r="Z16" s="12"/>
      <c r="AA16" s="11">
        <v>10514.16633</v>
      </c>
      <c r="AB16" s="11">
        <v>9621.08842</v>
      </c>
      <c r="AC16" s="12">
        <f t="shared" si="3"/>
        <v>893.07790999999997</v>
      </c>
      <c r="AD16" s="12">
        <f t="shared" si="4"/>
        <v>9.2825039227734276</v>
      </c>
      <c r="AE16" s="12"/>
      <c r="AF16" s="11">
        <v>8886.3581699999995</v>
      </c>
      <c r="AG16" s="11">
        <v>7906.2143599999999</v>
      </c>
      <c r="AH16" s="11">
        <f t="shared" si="5"/>
        <v>980.14380999999958</v>
      </c>
      <c r="AI16" s="11">
        <f t="shared" si="6"/>
        <v>12.397131741821374</v>
      </c>
      <c r="AJ16" s="12"/>
      <c r="AK16" s="12">
        <f t="shared" si="7"/>
        <v>30674.422569999999</v>
      </c>
      <c r="AL16" s="12">
        <f t="shared" si="7"/>
        <v>28370.258849999998</v>
      </c>
      <c r="AM16" s="12">
        <f t="shared" si="8"/>
        <v>2304.1637200000005</v>
      </c>
      <c r="AN16" s="12">
        <f t="shared" si="9"/>
        <v>8.1217578316173888</v>
      </c>
    </row>
    <row r="17" spans="1:42" s="15" customFormat="1" ht="15" customHeight="1" x14ac:dyDescent="0.25">
      <c r="A17" s="10" t="s">
        <v>16</v>
      </c>
      <c r="B17" s="11">
        <v>5834.0226500000008</v>
      </c>
      <c r="C17" s="11">
        <v>4732.8781200000003</v>
      </c>
      <c r="D17" s="12">
        <f t="shared" si="10"/>
        <v>1101.1445300000005</v>
      </c>
      <c r="E17" s="12">
        <f t="shared" si="11"/>
        <v>23.265854350798293</v>
      </c>
      <c r="F17" s="12"/>
      <c r="G17" s="12"/>
      <c r="H17" s="12"/>
      <c r="I17" s="12"/>
      <c r="J17" s="12"/>
      <c r="K17" s="12"/>
      <c r="L17" s="12">
        <v>0</v>
      </c>
      <c r="M17" s="12">
        <v>0</v>
      </c>
      <c r="N17" s="12">
        <f t="shared" si="0"/>
        <v>0</v>
      </c>
      <c r="O17" s="12"/>
      <c r="P17" s="12"/>
      <c r="Q17" s="12"/>
      <c r="R17" s="12"/>
      <c r="S17" s="12"/>
      <c r="T17" s="12"/>
      <c r="U17" s="12"/>
      <c r="V17" s="11">
        <v>605.27943000000005</v>
      </c>
      <c r="W17" s="11">
        <v>501.24412000000001</v>
      </c>
      <c r="X17" s="12">
        <f t="shared" si="1"/>
        <v>104.03531000000004</v>
      </c>
      <c r="Y17" s="12">
        <f t="shared" si="2"/>
        <v>20.755417539860623</v>
      </c>
      <c r="Z17" s="12"/>
      <c r="AA17" s="11">
        <v>6419.7074699999994</v>
      </c>
      <c r="AB17" s="11">
        <v>5263.335219999999</v>
      </c>
      <c r="AC17" s="12">
        <f t="shared" si="3"/>
        <v>1156.3722500000003</v>
      </c>
      <c r="AD17" s="12">
        <f t="shared" si="4"/>
        <v>21.970332529950479</v>
      </c>
      <c r="AE17" s="12"/>
      <c r="AF17" s="11">
        <v>5004.3546800000004</v>
      </c>
      <c r="AG17" s="11">
        <v>3772.1710200000002</v>
      </c>
      <c r="AH17" s="11">
        <f t="shared" si="5"/>
        <v>1232.1836600000001</v>
      </c>
      <c r="AI17" s="11">
        <f t="shared" si="6"/>
        <v>32.665105942094854</v>
      </c>
      <c r="AJ17" s="12"/>
      <c r="AK17" s="12">
        <f t="shared" si="7"/>
        <v>17863.364229999999</v>
      </c>
      <c r="AL17" s="12">
        <f t="shared" si="7"/>
        <v>14269.628479999999</v>
      </c>
      <c r="AM17" s="12">
        <f t="shared" si="8"/>
        <v>3593.7357499999998</v>
      </c>
      <c r="AN17" s="12">
        <f t="shared" si="9"/>
        <v>25.184508167377317</v>
      </c>
    </row>
    <row r="18" spans="1:42" s="15" customFormat="1" ht="15" customHeight="1" x14ac:dyDescent="0.25">
      <c r="A18" s="10" t="s">
        <v>17</v>
      </c>
      <c r="B18" s="11">
        <v>29586.919559999995</v>
      </c>
      <c r="C18" s="11">
        <v>26408.092400000001</v>
      </c>
      <c r="D18" s="12">
        <f t="shared" si="10"/>
        <v>3178.8271599999935</v>
      </c>
      <c r="E18" s="12">
        <f t="shared" si="11"/>
        <v>12.037322165685824</v>
      </c>
      <c r="F18" s="12"/>
      <c r="G18" s="12"/>
      <c r="H18" s="12"/>
      <c r="I18" s="12"/>
      <c r="J18" s="12"/>
      <c r="K18" s="12"/>
      <c r="L18" s="12">
        <v>0</v>
      </c>
      <c r="M18" s="12">
        <v>0</v>
      </c>
      <c r="N18" s="12">
        <f t="shared" si="0"/>
        <v>0</v>
      </c>
      <c r="O18" s="12"/>
      <c r="P18" s="12"/>
      <c r="Q18" s="12"/>
      <c r="R18" s="12"/>
      <c r="S18" s="12"/>
      <c r="T18" s="12"/>
      <c r="U18" s="12"/>
      <c r="V18" s="11">
        <v>3095.6596399999999</v>
      </c>
      <c r="W18" s="11">
        <v>2473.1888399999998</v>
      </c>
      <c r="X18" s="12">
        <f t="shared" si="1"/>
        <v>622.47080000000005</v>
      </c>
      <c r="Y18" s="12">
        <f t="shared" si="2"/>
        <v>25.16875338965221</v>
      </c>
      <c r="Z18" s="12"/>
      <c r="AA18" s="11">
        <v>29297.625009999996</v>
      </c>
      <c r="AB18" s="11">
        <v>25148.39561</v>
      </c>
      <c r="AC18" s="12">
        <f t="shared" si="3"/>
        <v>4149.2293999999965</v>
      </c>
      <c r="AD18" s="12">
        <f t="shared" si="4"/>
        <v>16.498982536882387</v>
      </c>
      <c r="AE18" s="12"/>
      <c r="AF18" s="11">
        <v>26055.746139999996</v>
      </c>
      <c r="AG18" s="16">
        <v>19121.665589999997</v>
      </c>
      <c r="AH18" s="11">
        <f t="shared" si="5"/>
        <v>6934.0805499999988</v>
      </c>
      <c r="AI18" s="11">
        <f t="shared" si="6"/>
        <v>36.262952708608687</v>
      </c>
      <c r="AJ18" s="12"/>
      <c r="AK18" s="12">
        <f t="shared" si="7"/>
        <v>88035.950349999985</v>
      </c>
      <c r="AL18" s="12">
        <f t="shared" si="7"/>
        <v>73151.342440000008</v>
      </c>
      <c r="AM18" s="12">
        <f t="shared" si="8"/>
        <v>14884.607909999977</v>
      </c>
      <c r="AN18" s="12">
        <f t="shared" si="9"/>
        <v>20.347689343102061</v>
      </c>
    </row>
    <row r="19" spans="1:42" s="15" customFormat="1" ht="15" customHeight="1" x14ac:dyDescent="0.25">
      <c r="A19" s="10" t="s">
        <v>18</v>
      </c>
      <c r="B19" s="11">
        <v>0</v>
      </c>
      <c r="C19" s="11">
        <v>0</v>
      </c>
      <c r="D19" s="12">
        <f t="shared" si="10"/>
        <v>0</v>
      </c>
      <c r="E19" s="12"/>
      <c r="F19" s="12"/>
      <c r="G19" s="12"/>
      <c r="H19" s="12"/>
      <c r="I19" s="12"/>
      <c r="J19" s="12"/>
      <c r="K19" s="12"/>
      <c r="L19" s="12">
        <v>0</v>
      </c>
      <c r="M19" s="12">
        <v>0</v>
      </c>
      <c r="N19" s="12">
        <f t="shared" si="0"/>
        <v>0</v>
      </c>
      <c r="O19" s="12"/>
      <c r="P19" s="12"/>
      <c r="Q19" s="12"/>
      <c r="R19" s="12"/>
      <c r="S19" s="12"/>
      <c r="T19" s="12"/>
      <c r="U19" s="12"/>
      <c r="V19" s="11">
        <v>0</v>
      </c>
      <c r="W19" s="11">
        <v>0</v>
      </c>
      <c r="X19" s="12">
        <f t="shared" si="1"/>
        <v>0</v>
      </c>
      <c r="Y19" s="12"/>
      <c r="Z19" s="12"/>
      <c r="AA19" s="11">
        <v>0</v>
      </c>
      <c r="AB19" s="11">
        <v>0</v>
      </c>
      <c r="AC19" s="12">
        <f t="shared" si="3"/>
        <v>0</v>
      </c>
      <c r="AD19" s="12"/>
      <c r="AE19" s="12"/>
      <c r="AF19" s="11">
        <v>0</v>
      </c>
      <c r="AG19" s="16">
        <v>0</v>
      </c>
      <c r="AH19" s="11">
        <f t="shared" si="5"/>
        <v>0</v>
      </c>
      <c r="AI19" s="11"/>
      <c r="AJ19" s="12"/>
      <c r="AK19" s="12">
        <f t="shared" si="7"/>
        <v>0</v>
      </c>
      <c r="AL19" s="12">
        <f t="shared" si="7"/>
        <v>0</v>
      </c>
      <c r="AM19" s="12">
        <f>AK19-AL19</f>
        <v>0</v>
      </c>
      <c r="AN19" s="12"/>
    </row>
    <row r="20" spans="1:42" s="15" customFormat="1" ht="15" customHeight="1" x14ac:dyDescent="0.25">
      <c r="A20" s="10" t="s">
        <v>19</v>
      </c>
      <c r="B20" s="11">
        <v>0</v>
      </c>
      <c r="C20" s="11">
        <v>0</v>
      </c>
      <c r="D20" s="12">
        <f t="shared" si="10"/>
        <v>0</v>
      </c>
      <c r="E20" s="12"/>
      <c r="F20" s="12"/>
      <c r="G20" s="12"/>
      <c r="H20" s="12"/>
      <c r="I20" s="12"/>
      <c r="J20" s="12"/>
      <c r="K20" s="12"/>
      <c r="L20" s="12">
        <v>0</v>
      </c>
      <c r="M20" s="12">
        <v>0</v>
      </c>
      <c r="N20" s="12">
        <f t="shared" si="0"/>
        <v>0</v>
      </c>
      <c r="O20" s="12"/>
      <c r="P20" s="12"/>
      <c r="Q20" s="12"/>
      <c r="R20" s="12"/>
      <c r="S20" s="12"/>
      <c r="T20" s="12"/>
      <c r="U20" s="12"/>
      <c r="V20" s="11">
        <v>0</v>
      </c>
      <c r="W20" s="11">
        <v>0</v>
      </c>
      <c r="X20" s="12">
        <f t="shared" si="1"/>
        <v>0</v>
      </c>
      <c r="Y20" s="12"/>
      <c r="Z20" s="12"/>
      <c r="AA20" s="11">
        <v>0</v>
      </c>
      <c r="AB20" s="11">
        <v>0</v>
      </c>
      <c r="AC20" s="12">
        <f t="shared" si="3"/>
        <v>0</v>
      </c>
      <c r="AD20" s="12"/>
      <c r="AE20" s="12"/>
      <c r="AF20" s="11">
        <v>0</v>
      </c>
      <c r="AG20" s="16">
        <v>0</v>
      </c>
      <c r="AH20" s="11">
        <f t="shared" si="5"/>
        <v>0</v>
      </c>
      <c r="AI20" s="11"/>
      <c r="AJ20" s="12"/>
      <c r="AK20" s="12">
        <f t="shared" si="7"/>
        <v>0</v>
      </c>
      <c r="AL20" s="12">
        <f t="shared" si="7"/>
        <v>0</v>
      </c>
      <c r="AM20" s="12">
        <f>AK20-AL20</f>
        <v>0</v>
      </c>
      <c r="AN20" s="12"/>
    </row>
    <row r="21" spans="1:42" s="15" customFormat="1" ht="15" customHeight="1" x14ac:dyDescent="0.25">
      <c r="A21" s="10" t="s">
        <v>20</v>
      </c>
      <c r="B21" s="11">
        <f>B15-B16-B17-B18-B19-B20</f>
        <v>226362.71957999998</v>
      </c>
      <c r="C21" s="11">
        <f>C15-C16-C17-C18-C19-C20</f>
        <v>202004.77549</v>
      </c>
      <c r="D21" s="12">
        <f t="shared" si="10"/>
        <v>24357.944089999975</v>
      </c>
      <c r="E21" s="12">
        <f t="shared" si="11"/>
        <v>12.058103097273454</v>
      </c>
      <c r="F21" s="12"/>
      <c r="G21" s="12"/>
      <c r="H21" s="12"/>
      <c r="I21" s="12"/>
      <c r="J21" s="12"/>
      <c r="K21" s="12"/>
      <c r="L21" s="11">
        <f>L15-L16-L17-L18-L19-L20</f>
        <v>411531.7622</v>
      </c>
      <c r="M21" s="11">
        <f>M15-M16-M17-M18-M19-M20</f>
        <v>440065.96399999998</v>
      </c>
      <c r="N21" s="12">
        <f t="shared" si="0"/>
        <v>-28534.201799999981</v>
      </c>
      <c r="O21" s="12">
        <f>N21/M21*100</f>
        <v>-6.4840737830840256</v>
      </c>
      <c r="P21" s="12"/>
      <c r="Q21" s="12"/>
      <c r="R21" s="12"/>
      <c r="S21" s="12"/>
      <c r="T21" s="12"/>
      <c r="U21" s="12"/>
      <c r="V21" s="11">
        <f>V15-V16-V17-V18-V19-V20</f>
        <v>24820.903570000002</v>
      </c>
      <c r="W21" s="11">
        <f>W15-W16-W17-W18-W19-W20</f>
        <v>19682.449249999998</v>
      </c>
      <c r="X21" s="12">
        <f>V21-W21</f>
        <v>5138.4543200000044</v>
      </c>
      <c r="Y21" s="12">
        <f t="shared" si="2"/>
        <v>26.106783026507763</v>
      </c>
      <c r="Z21" s="12"/>
      <c r="AA21" s="11">
        <f>AA15-AA16-AA17-AA18-AA19-AA20</f>
        <v>243338.53607000006</v>
      </c>
      <c r="AB21" s="11">
        <f>AB15-AB16-AB17-AB18-AB19-AB20</f>
        <v>207537.57861000003</v>
      </c>
      <c r="AC21" s="12">
        <f>AA21-AB21</f>
        <v>35800.957460000034</v>
      </c>
      <c r="AD21" s="12">
        <f t="shared" si="4"/>
        <v>17.250349406492976</v>
      </c>
      <c r="AE21" s="12"/>
      <c r="AF21" s="11">
        <f>AF15-AF16-AF17-AF18-AF19-AF20</f>
        <v>212095.49124999999</v>
      </c>
      <c r="AG21" s="11">
        <f>AG15-AG16-AG17-AG18-AG19-AG20</f>
        <v>157601.10796999998</v>
      </c>
      <c r="AH21" s="11">
        <f>AF21-AG21</f>
        <v>54494.383280000009</v>
      </c>
      <c r="AI21" s="11">
        <f t="shared" si="6"/>
        <v>34.577411277066176</v>
      </c>
      <c r="AJ21" s="12"/>
      <c r="AK21" s="12">
        <f>AK15-AK16-AK17-AK18-AK19-AK20</f>
        <v>1118149.41267</v>
      </c>
      <c r="AL21" s="12">
        <f>AL15-AL16-AL17-AL18-AL19-AL20</f>
        <v>1026891.8753199999</v>
      </c>
      <c r="AM21" s="12">
        <f t="shared" si="8"/>
        <v>91257.537350000115</v>
      </c>
      <c r="AN21" s="12">
        <f t="shared" si="9"/>
        <v>8.8867717763919849</v>
      </c>
    </row>
    <row r="22" spans="1:42" s="15" customFormat="1" ht="15" customHeight="1" x14ac:dyDescent="0.25">
      <c r="A22" s="10" t="s">
        <v>21</v>
      </c>
      <c r="B22" s="11">
        <v>5249.3899700000002</v>
      </c>
      <c r="C22" s="11">
        <v>8368.41878</v>
      </c>
      <c r="D22" s="12">
        <f t="shared" si="10"/>
        <v>-3119.0288099999998</v>
      </c>
      <c r="E22" s="12">
        <f t="shared" si="11"/>
        <v>-37.271423574717417</v>
      </c>
      <c r="F22" s="12"/>
      <c r="G22" s="12"/>
      <c r="H22" s="12"/>
      <c r="I22" s="12"/>
      <c r="J22" s="12"/>
      <c r="K22" s="12"/>
      <c r="L22" s="12">
        <v>0</v>
      </c>
      <c r="M22" s="12">
        <v>0</v>
      </c>
      <c r="N22" s="12">
        <f t="shared" si="0"/>
        <v>0</v>
      </c>
      <c r="O22" s="12"/>
      <c r="P22" s="12"/>
      <c r="Q22" s="12"/>
      <c r="R22" s="12"/>
      <c r="S22" s="12"/>
      <c r="T22" s="12"/>
      <c r="U22" s="12"/>
      <c r="V22" s="11">
        <v>1633.60177</v>
      </c>
      <c r="W22" s="11">
        <v>1410.11077</v>
      </c>
      <c r="X22" s="12">
        <f>V22-W22</f>
        <v>223.49099999999999</v>
      </c>
      <c r="Y22" s="12">
        <f t="shared" si="2"/>
        <v>15.849180415805206</v>
      </c>
      <c r="Z22" s="12"/>
      <c r="AA22" s="11">
        <v>21984.211169999999</v>
      </c>
      <c r="AB22" s="11">
        <v>18093.108090000002</v>
      </c>
      <c r="AC22" s="12">
        <f>AA22-AB22</f>
        <v>3891.1030799999971</v>
      </c>
      <c r="AD22" s="12">
        <f t="shared" si="4"/>
        <v>21.50599587779281</v>
      </c>
      <c r="AE22" s="12"/>
      <c r="AF22" s="11">
        <v>11141.713449999999</v>
      </c>
      <c r="AG22" s="16">
        <v>5702.8135500000008</v>
      </c>
      <c r="AH22" s="11">
        <f>AF22-AG22</f>
        <v>5438.8998999999985</v>
      </c>
      <c r="AI22" s="11">
        <f t="shared" si="6"/>
        <v>95.372220261347977</v>
      </c>
      <c r="AJ22" s="12"/>
      <c r="AK22" s="12">
        <f>G22+B22+Q22+V22+AA22+AF22+L22</f>
        <v>40008.916360000003</v>
      </c>
      <c r="AL22" s="12">
        <f>H22+C22+R22+W22+AB22+AG22+M22</f>
        <v>33574.45119</v>
      </c>
      <c r="AM22" s="12">
        <f t="shared" si="8"/>
        <v>6434.4651700000031</v>
      </c>
      <c r="AN22" s="12">
        <f t="shared" si="9"/>
        <v>19.164766487431013</v>
      </c>
    </row>
    <row r="23" spans="1:42" s="15" customFormat="1" ht="15" customHeight="1" x14ac:dyDescent="0.25">
      <c r="A23" s="10" t="s">
        <v>22</v>
      </c>
      <c r="B23" s="11">
        <f>B21+B22</f>
        <v>231612.10954999996</v>
      </c>
      <c r="C23" s="11">
        <f>C21+C22</f>
        <v>210373.19427000001</v>
      </c>
      <c r="D23" s="12">
        <f t="shared" si="10"/>
        <v>21238.915279999957</v>
      </c>
      <c r="E23" s="12">
        <f t="shared" si="11"/>
        <v>10.095827728289956</v>
      </c>
      <c r="F23" s="12"/>
      <c r="G23" s="12"/>
      <c r="H23" s="12"/>
      <c r="I23" s="12"/>
      <c r="J23" s="12"/>
      <c r="K23" s="12"/>
      <c r="L23" s="11">
        <f>L21+L22</f>
        <v>411531.7622</v>
      </c>
      <c r="M23" s="11">
        <f>M21+M22</f>
        <v>440065.96399999998</v>
      </c>
      <c r="N23" s="12">
        <f t="shared" si="0"/>
        <v>-28534.201799999981</v>
      </c>
      <c r="O23" s="12">
        <f t="shared" ref="O23:O24" si="12">N23/M23*100</f>
        <v>-6.4840737830840256</v>
      </c>
      <c r="P23" s="12"/>
      <c r="Q23" s="12"/>
      <c r="R23" s="12"/>
      <c r="S23" s="12"/>
      <c r="T23" s="12"/>
      <c r="U23" s="12"/>
      <c r="V23" s="11">
        <f>V21+V22</f>
        <v>26454.505340000003</v>
      </c>
      <c r="W23" s="11">
        <f>W21+W22</f>
        <v>21092.560019999997</v>
      </c>
      <c r="X23" s="12">
        <f>V23-W23</f>
        <v>5361.9453200000062</v>
      </c>
      <c r="Y23" s="12">
        <f t="shared" si="2"/>
        <v>25.421026726560463</v>
      </c>
      <c r="Z23" s="12"/>
      <c r="AA23" s="11">
        <f>AA21+AA22</f>
        <v>265322.74724000006</v>
      </c>
      <c r="AB23" s="11">
        <f>AB21+AB22</f>
        <v>225630.68670000002</v>
      </c>
      <c r="AC23" s="12">
        <f>AA23-AB23</f>
        <v>39692.060540000035</v>
      </c>
      <c r="AD23" s="12">
        <f t="shared" si="4"/>
        <v>17.591605610266502</v>
      </c>
      <c r="AE23" s="12"/>
      <c r="AF23" s="16">
        <f>+AF21+AF22</f>
        <v>223237.2047</v>
      </c>
      <c r="AG23" s="16">
        <f>+AG21+AG22</f>
        <v>163303.92151999997</v>
      </c>
      <c r="AH23" s="11">
        <f>AF23-AG23</f>
        <v>59933.283180000028</v>
      </c>
      <c r="AI23" s="11">
        <f t="shared" si="6"/>
        <v>36.70045558131924</v>
      </c>
      <c r="AJ23" s="12"/>
      <c r="AK23" s="12">
        <f>AK21+AK22</f>
        <v>1158158.3290299999</v>
      </c>
      <c r="AL23" s="12">
        <f>AL21+AL22</f>
        <v>1060466.3265099998</v>
      </c>
      <c r="AM23" s="12">
        <f>AK23-AL23</f>
        <v>97692.002520000096</v>
      </c>
      <c r="AN23" s="12">
        <f>AM23/AL23*100</f>
        <v>9.2121739349805658</v>
      </c>
    </row>
    <row r="24" spans="1:42" s="15" customFormat="1" ht="15" customHeight="1" x14ac:dyDescent="0.25">
      <c r="A24" s="10" t="s">
        <v>23</v>
      </c>
      <c r="B24" s="11">
        <v>200910.73661999998</v>
      </c>
      <c r="C24" s="11">
        <v>166525.94932999997</v>
      </c>
      <c r="D24" s="12">
        <f t="shared" si="10"/>
        <v>34384.787290000007</v>
      </c>
      <c r="E24" s="12">
        <f t="shared" si="11"/>
        <v>20.648305821611384</v>
      </c>
      <c r="F24" s="12"/>
      <c r="G24" s="12"/>
      <c r="H24" s="12"/>
      <c r="I24" s="12"/>
      <c r="J24" s="12"/>
      <c r="K24" s="12"/>
      <c r="L24" s="12">
        <f>363753366.27/1000</f>
        <v>363753.36627</v>
      </c>
      <c r="M24" s="12">
        <f>332101830.58/1000</f>
        <v>332101.83058000001</v>
      </c>
      <c r="N24" s="12">
        <f t="shared" si="0"/>
        <v>31651.53568999999</v>
      </c>
      <c r="O24" s="12">
        <f t="shared" si="12"/>
        <v>9.5306718528838257</v>
      </c>
      <c r="P24" s="12"/>
      <c r="Q24" s="12"/>
      <c r="R24" s="12"/>
      <c r="S24" s="12"/>
      <c r="T24" s="12"/>
      <c r="U24" s="12"/>
      <c r="V24" s="11">
        <v>18604.667009999997</v>
      </c>
      <c r="W24" s="11">
        <v>14982.320959999999</v>
      </c>
      <c r="X24" s="12">
        <f>V24-W24</f>
        <v>3622.3460499999983</v>
      </c>
      <c r="Y24" s="12">
        <f t="shared" si="2"/>
        <v>24.17746929645271</v>
      </c>
      <c r="Z24" s="12"/>
      <c r="AA24" s="11">
        <v>218864.50173999998</v>
      </c>
      <c r="AB24" s="11">
        <v>161160.13219</v>
      </c>
      <c r="AC24" s="12">
        <f>AA24-AB24</f>
        <v>57704.369549999974</v>
      </c>
      <c r="AD24" s="12">
        <f t="shared" si="4"/>
        <v>35.805610708962007</v>
      </c>
      <c r="AE24" s="12"/>
      <c r="AF24" s="11">
        <v>159244.93609999999</v>
      </c>
      <c r="AG24" s="16">
        <v>134211.00949</v>
      </c>
      <c r="AH24" s="11">
        <f>AF24-AG24</f>
        <v>25033.926609999995</v>
      </c>
      <c r="AI24" s="11">
        <f t="shared" si="6"/>
        <v>18.652662479127883</v>
      </c>
      <c r="AJ24" s="12"/>
      <c r="AK24" s="12">
        <f>G24+B24+Q24+V24+AA24+AF24+L24</f>
        <v>961378.20773999987</v>
      </c>
      <c r="AL24" s="12">
        <f>H24+C24+R24+W24+AB24+AG24+M24</f>
        <v>808981.24255000008</v>
      </c>
      <c r="AM24" s="12">
        <f>AK24-AL24</f>
        <v>152396.96518999978</v>
      </c>
      <c r="AN24" s="12">
        <f>AM24/AL24*100</f>
        <v>18.838133342823546</v>
      </c>
    </row>
    <row r="25" spans="1:42" ht="15" customHeight="1" x14ac:dyDescent="0.25">
      <c r="A25" s="10" t="s">
        <v>24</v>
      </c>
      <c r="B25" s="11">
        <f>ROUND((B24/B23*100),0)</f>
        <v>87</v>
      </c>
      <c r="C25" s="11">
        <f>ROUND((C24/C23*100),0)</f>
        <v>79</v>
      </c>
      <c r="D25" s="25" t="s">
        <v>25</v>
      </c>
      <c r="E25" s="12">
        <f>B25-C25</f>
        <v>8</v>
      </c>
      <c r="F25" s="12"/>
      <c r="G25" s="12"/>
      <c r="H25" s="12"/>
      <c r="I25" s="25"/>
      <c r="J25" s="12"/>
      <c r="K25" s="12"/>
      <c r="L25" s="11">
        <f>ROUND((L24/L23*100),0)</f>
        <v>88</v>
      </c>
      <c r="M25" s="11">
        <f>ROUND((M24/M23*100),0)</f>
        <v>75</v>
      </c>
      <c r="N25" s="25" t="s">
        <v>25</v>
      </c>
      <c r="O25" s="12">
        <f>L25-M25</f>
        <v>13</v>
      </c>
      <c r="P25" s="12"/>
      <c r="Q25" s="12"/>
      <c r="R25" s="12"/>
      <c r="S25" s="25"/>
      <c r="T25" s="12"/>
      <c r="U25" s="12"/>
      <c r="V25" s="11">
        <f>ROUND((V24/V23*100),0)</f>
        <v>70</v>
      </c>
      <c r="W25" s="11">
        <f>ROUND((W24/W23*100),0)</f>
        <v>71</v>
      </c>
      <c r="X25" s="25" t="s">
        <v>25</v>
      </c>
      <c r="Y25" s="12">
        <f>V25-W25</f>
        <v>-1</v>
      </c>
      <c r="Z25" s="12"/>
      <c r="AA25" s="11">
        <f>ROUND((AA24/AA23*100),0)</f>
        <v>82</v>
      </c>
      <c r="AB25" s="11">
        <f>ROUND((AB24/AB23*100),0)</f>
        <v>71</v>
      </c>
      <c r="AC25" s="25" t="s">
        <v>25</v>
      </c>
      <c r="AD25" s="12">
        <f>AA25-AB25</f>
        <v>11</v>
      </c>
      <c r="AE25" s="12"/>
      <c r="AF25" s="16">
        <f>ROUND((AF24/AF23*100),0)</f>
        <v>71</v>
      </c>
      <c r="AG25" s="16">
        <f>ROUND((AG24/AG23*100),0)</f>
        <v>82</v>
      </c>
      <c r="AH25" s="28" t="s">
        <v>25</v>
      </c>
      <c r="AI25" s="11">
        <f>AF25-AG25</f>
        <v>-11</v>
      </c>
      <c r="AJ25" s="12"/>
      <c r="AK25" s="12">
        <f>ROUND((AK24/AK23*100),0)</f>
        <v>83</v>
      </c>
      <c r="AL25" s="12">
        <f>ROUND((AL24/AL23*100),0)</f>
        <v>76</v>
      </c>
      <c r="AM25" s="25" t="s">
        <v>25</v>
      </c>
      <c r="AN25" s="12">
        <f>AK25-AL25</f>
        <v>7</v>
      </c>
      <c r="AO25" s="15"/>
    </row>
    <row r="26" spans="1:42" s="15" customFormat="1" ht="15" customHeight="1" x14ac:dyDescent="0.25">
      <c r="A26" s="10" t="s">
        <v>26</v>
      </c>
      <c r="B26" s="11">
        <v>74810.954360000003</v>
      </c>
      <c r="C26" s="11">
        <v>65463.880909999993</v>
      </c>
      <c r="D26" s="12">
        <f>B26-C26</f>
        <v>9347.0734500000108</v>
      </c>
      <c r="E26" s="12">
        <f>D26/C26*100</f>
        <v>14.278214673600553</v>
      </c>
      <c r="F26" s="12"/>
      <c r="G26" s="12"/>
      <c r="H26" s="12"/>
      <c r="I26" s="12"/>
      <c r="J26" s="12"/>
      <c r="K26" s="12"/>
      <c r="L26" s="12">
        <f>+(31574634.63+23289175.66+23788006.36)/1000</f>
        <v>78651.816650000008</v>
      </c>
      <c r="M26" s="12">
        <f>+(27558152.29+23418519.45+24251794.4)/1000</f>
        <v>75228.46613999999</v>
      </c>
      <c r="N26" s="12">
        <f>L26-M26</f>
        <v>3423.3505100000184</v>
      </c>
      <c r="O26" s="12">
        <f>N26/M26*100</f>
        <v>4.5506052238645562</v>
      </c>
      <c r="P26" s="12"/>
      <c r="Q26" s="12"/>
      <c r="R26" s="12"/>
      <c r="S26" s="12"/>
      <c r="T26" s="12"/>
      <c r="U26" s="12"/>
      <c r="V26" s="11">
        <v>6061.6387299999997</v>
      </c>
      <c r="W26" s="11">
        <v>6537.3645900000001</v>
      </c>
      <c r="X26" s="12">
        <f>V26-W26</f>
        <v>-475.72586000000047</v>
      </c>
      <c r="Y26" s="12">
        <f>X26/W26*100</f>
        <v>-7.2770281273237121</v>
      </c>
      <c r="Z26" s="12"/>
      <c r="AA26" s="11">
        <v>24249.506590000001</v>
      </c>
      <c r="AB26" s="11">
        <v>27743.256120000002</v>
      </c>
      <c r="AC26" s="12">
        <f>AA26-AB26</f>
        <v>-3493.749530000001</v>
      </c>
      <c r="AD26" s="12">
        <f>AC26/AB26*100</f>
        <v>-12.593148817457555</v>
      </c>
      <c r="AE26" s="12"/>
      <c r="AF26" s="11">
        <v>18686.193830000004</v>
      </c>
      <c r="AG26" s="16">
        <v>18974.74827</v>
      </c>
      <c r="AH26" s="11">
        <f>AF26-AG26</f>
        <v>-288.55443999999625</v>
      </c>
      <c r="AI26" s="11">
        <f>AH26/AG26*100</f>
        <v>-1.5207286857987721</v>
      </c>
      <c r="AJ26" s="12"/>
      <c r="AK26" s="12">
        <f>G26+B26+Q26+V26+AA26+AF26+L26</f>
        <v>202460.11016000004</v>
      </c>
      <c r="AL26" s="12">
        <f>H26+C26+R26+W26+AB26+AG26+M26</f>
        <v>193947.71602999998</v>
      </c>
      <c r="AM26" s="12">
        <f>AK26-AL26</f>
        <v>8512.3941300000588</v>
      </c>
      <c r="AN26" s="12">
        <f>AM26/AL26*100</f>
        <v>4.3890148872304096</v>
      </c>
    </row>
    <row r="27" spans="1:42" ht="15" customHeight="1" x14ac:dyDescent="0.25">
      <c r="A27" s="10" t="s">
        <v>24</v>
      </c>
      <c r="B27" s="11">
        <f>ROUND((B26/B23*100),0)</f>
        <v>32</v>
      </c>
      <c r="C27" s="11">
        <f>ROUND((C26/C23*100),0)</f>
        <v>31</v>
      </c>
      <c r="D27" s="12"/>
      <c r="E27" s="12">
        <f>B27-C27</f>
        <v>1</v>
      </c>
      <c r="F27" s="12"/>
      <c r="G27" s="12"/>
      <c r="H27" s="12"/>
      <c r="I27" s="12"/>
      <c r="J27" s="12"/>
      <c r="K27" s="12"/>
      <c r="L27" s="11">
        <f>ROUND((L26/L23*100),0)</f>
        <v>19</v>
      </c>
      <c r="M27" s="11">
        <f>ROUND((M26/M23*100),0)</f>
        <v>17</v>
      </c>
      <c r="N27" s="12"/>
      <c r="O27" s="12">
        <f>L27-M27</f>
        <v>2</v>
      </c>
      <c r="P27" s="12"/>
      <c r="Q27" s="12"/>
      <c r="R27" s="12"/>
      <c r="S27" s="12"/>
      <c r="T27" s="12"/>
      <c r="U27" s="12"/>
      <c r="V27" s="11">
        <f>ROUND((V26/V23*100),0)</f>
        <v>23</v>
      </c>
      <c r="W27" s="11">
        <f>ROUND((W26/W23*100),0)</f>
        <v>31</v>
      </c>
      <c r="X27" s="12"/>
      <c r="Y27" s="12">
        <f>V27-W27</f>
        <v>-8</v>
      </c>
      <c r="Z27" s="12"/>
      <c r="AA27" s="11">
        <f>ROUND((AA26/AA23*100),0)</f>
        <v>9</v>
      </c>
      <c r="AB27" s="11">
        <f>ROUND((AB26/AB23*100),0)</f>
        <v>12</v>
      </c>
      <c r="AC27" s="12"/>
      <c r="AD27" s="12">
        <f>AA27-AB27</f>
        <v>-3</v>
      </c>
      <c r="AE27" s="12"/>
      <c r="AF27" s="16">
        <f>ROUND((AF26/AF23*100),0)</f>
        <v>8</v>
      </c>
      <c r="AG27" s="16">
        <f>ROUND((AG26/AG23*100),0)</f>
        <v>12</v>
      </c>
      <c r="AH27" s="11"/>
      <c r="AI27" s="11">
        <f>AF27-AG27</f>
        <v>-4</v>
      </c>
      <c r="AJ27" s="12"/>
      <c r="AK27" s="12">
        <f>ROUND((AK26/AK23*100),0)</f>
        <v>17</v>
      </c>
      <c r="AL27" s="12">
        <f>ROUND((AL26/AL23*100),0)</f>
        <v>18</v>
      </c>
      <c r="AM27" s="12"/>
      <c r="AN27" s="12">
        <f>AK27-AL27</f>
        <v>-1</v>
      </c>
      <c r="AO27" s="15"/>
      <c r="AP27" s="19"/>
    </row>
    <row r="28" spans="1:42" s="15" customFormat="1" ht="15" customHeight="1" x14ac:dyDescent="0.25">
      <c r="A28" s="10" t="s">
        <v>27</v>
      </c>
      <c r="B28" s="11">
        <f>B23-B24-B26</f>
        <v>-44109.58143000002</v>
      </c>
      <c r="C28" s="11">
        <f>C23-C24-C26</f>
        <v>-21616.635969999959</v>
      </c>
      <c r="D28" s="12">
        <f>B28-C28</f>
        <v>-22492.945460000061</v>
      </c>
      <c r="E28" s="12">
        <f>D28/C28*100</f>
        <v>104.05386615760317</v>
      </c>
      <c r="F28" s="12"/>
      <c r="G28" s="12"/>
      <c r="H28" s="12"/>
      <c r="I28" s="12"/>
      <c r="J28" s="12"/>
      <c r="K28" s="12"/>
      <c r="L28" s="11">
        <f>L23-L24-L26</f>
        <v>-30873.420720000009</v>
      </c>
      <c r="M28" s="11">
        <f>M23-M24-M26</f>
        <v>32735.66727999998</v>
      </c>
      <c r="N28" s="12">
        <f>L28-M28</f>
        <v>-63609.087999999989</v>
      </c>
      <c r="O28" s="12">
        <f t="shared" ref="O28:O31" si="13">N28/M28*100</f>
        <v>-194.31126134050817</v>
      </c>
      <c r="P28" s="12"/>
      <c r="Q28" s="12"/>
      <c r="R28" s="12"/>
      <c r="S28" s="12"/>
      <c r="T28" s="12"/>
      <c r="U28" s="12"/>
      <c r="V28" s="11">
        <f>V23-V24-V26</f>
        <v>1788.1996000000063</v>
      </c>
      <c r="W28" s="11">
        <f>W23-W24-W26</f>
        <v>-427.12553000000207</v>
      </c>
      <c r="X28" s="12">
        <f>V28-W28</f>
        <v>2215.3251300000084</v>
      </c>
      <c r="Y28" s="12">
        <f>X28/W28*100</f>
        <v>-518.65902981729926</v>
      </c>
      <c r="Z28" s="12"/>
      <c r="AA28" s="11">
        <f>AA23-AA24-AA26</f>
        <v>22208.738910000076</v>
      </c>
      <c r="AB28" s="11">
        <f>AB23-AB24-AB26</f>
        <v>36727.298390000011</v>
      </c>
      <c r="AC28" s="12">
        <f>AA28-AB28</f>
        <v>-14518.559479999934</v>
      </c>
      <c r="AD28" s="12">
        <f>AC28/AB28*100</f>
        <v>-39.530703635835629</v>
      </c>
      <c r="AE28" s="12"/>
      <c r="AF28" s="16">
        <f>+AF23-AF24-AF26</f>
        <v>45306.074770000007</v>
      </c>
      <c r="AG28" s="16">
        <f>+AG23-AG24-AG26</f>
        <v>10118.163759999978</v>
      </c>
      <c r="AH28" s="11">
        <f>AF28-AG28</f>
        <v>35187.911010000025</v>
      </c>
      <c r="AI28" s="11">
        <f>AH28/AG28*100</f>
        <v>347.76973218310616</v>
      </c>
      <c r="AJ28" s="12"/>
      <c r="AK28" s="12">
        <f>AK23-AK24-AK26</f>
        <v>-5679.988870000001</v>
      </c>
      <c r="AL28" s="12">
        <f>AL23-AL24-AL26</f>
        <v>57537.367929999746</v>
      </c>
      <c r="AM28" s="12">
        <f>AK28-AL28</f>
        <v>-63217.356799999747</v>
      </c>
      <c r="AN28" s="12">
        <f>AM28/AL28*100</f>
        <v>-109.87182603992296</v>
      </c>
    </row>
    <row r="29" spans="1:42" s="15" customFormat="1" ht="15" customHeight="1" x14ac:dyDescent="0.25">
      <c r="A29" s="10" t="s">
        <v>28</v>
      </c>
      <c r="B29" s="11">
        <v>14225.34611</v>
      </c>
      <c r="C29" s="11">
        <v>8740.15697</v>
      </c>
      <c r="D29" s="12">
        <f>B29-C29</f>
        <v>5485.1891400000004</v>
      </c>
      <c r="E29" s="12">
        <f>D29/C29*100</f>
        <v>62.758474004843876</v>
      </c>
      <c r="F29" s="12"/>
      <c r="G29" s="12"/>
      <c r="H29" s="12"/>
      <c r="I29" s="12"/>
      <c r="J29" s="12"/>
      <c r="K29" s="12"/>
      <c r="L29" s="12">
        <f>1946527.86/1000</f>
        <v>1946.5278600000001</v>
      </c>
      <c r="M29" s="12">
        <v>0</v>
      </c>
      <c r="N29" s="12">
        <f>L29-M29</f>
        <v>1946.5278600000001</v>
      </c>
      <c r="O29" s="12"/>
      <c r="P29" s="12"/>
      <c r="Q29" s="12"/>
      <c r="R29" s="12"/>
      <c r="S29" s="12"/>
      <c r="T29" s="12"/>
      <c r="U29" s="12"/>
      <c r="V29" s="11">
        <v>19.42557</v>
      </c>
      <c r="W29" s="11">
        <v>39.627920000000003</v>
      </c>
      <c r="X29" s="12">
        <f>V29-W29</f>
        <v>-20.202350000000003</v>
      </c>
      <c r="Y29" s="12">
        <f>X29/W29*100</f>
        <v>-50.98009181405434</v>
      </c>
      <c r="Z29" s="12"/>
      <c r="AA29" s="11">
        <v>15708.668379999999</v>
      </c>
      <c r="AB29" s="11">
        <v>13797.258989999998</v>
      </c>
      <c r="AC29" s="12">
        <f>AA29-AB29</f>
        <v>1911.4093900000007</v>
      </c>
      <c r="AD29" s="12">
        <f>AC29/AB29*100</f>
        <v>13.853544326343044</v>
      </c>
      <c r="AE29" s="12"/>
      <c r="AF29" s="11">
        <v>4162.05152</v>
      </c>
      <c r="AG29" s="16">
        <v>2625.1161700000002</v>
      </c>
      <c r="AH29" s="11">
        <f>AF29-AG29</f>
        <v>1536.9353499999997</v>
      </c>
      <c r="AI29" s="11">
        <f>AH29/AG29*100</f>
        <v>58.547327069338785</v>
      </c>
      <c r="AJ29" s="12"/>
      <c r="AK29" s="12">
        <f>G29+B29+Q29+V29+AA29+AF29+L29</f>
        <v>36062.019440000004</v>
      </c>
      <c r="AL29" s="12">
        <f>H29+C29+R29+W29+AB29+AG29+M29</f>
        <v>25202.160049999999</v>
      </c>
      <c r="AM29" s="12">
        <f>AK29-AL29</f>
        <v>10859.859390000005</v>
      </c>
      <c r="AN29" s="12">
        <f>AM29/AL29*100</f>
        <v>43.090986520419335</v>
      </c>
    </row>
    <row r="30" spans="1:42" s="15" customFormat="1" ht="15" customHeight="1" x14ac:dyDescent="0.25">
      <c r="A30" s="10" t="s">
        <v>29</v>
      </c>
      <c r="B30" s="11">
        <v>546.02599999999995</v>
      </c>
      <c r="C30" s="11">
        <v>-27.166999999999973</v>
      </c>
      <c r="D30" s="12">
        <f>B30-C30</f>
        <v>573.19299999999998</v>
      </c>
      <c r="E30" s="12">
        <f>D30/C30*100</f>
        <v>-2109.8869952515943</v>
      </c>
      <c r="F30" s="12"/>
      <c r="G30" s="12"/>
      <c r="H30" s="12"/>
      <c r="I30" s="12"/>
      <c r="J30" s="12"/>
      <c r="K30" s="12"/>
      <c r="L30" s="12">
        <f>388117565.79/1000</f>
        <v>388117.56579000002</v>
      </c>
      <c r="M30" s="12">
        <f>185382391.08/1000</f>
        <v>185382.39108</v>
      </c>
      <c r="N30" s="12">
        <f>L30-M30</f>
        <v>202735.17471000002</v>
      </c>
      <c r="O30" s="12">
        <f t="shared" si="13"/>
        <v>109.36053501570792</v>
      </c>
      <c r="P30" s="12"/>
      <c r="Q30" s="12"/>
      <c r="R30" s="12"/>
      <c r="S30" s="12"/>
      <c r="T30" s="12"/>
      <c r="U30" s="12"/>
      <c r="V30" s="11">
        <v>0</v>
      </c>
      <c r="W30" s="11">
        <v>0</v>
      </c>
      <c r="X30" s="12">
        <v>0</v>
      </c>
      <c r="Y30" s="12"/>
      <c r="Z30" s="12"/>
      <c r="AA30" s="11">
        <v>545.58199999999999</v>
      </c>
      <c r="AB30" s="11">
        <v>600.04999999999995</v>
      </c>
      <c r="AC30" s="12">
        <f>AA30-AB30</f>
        <v>-54.467999999999961</v>
      </c>
      <c r="AD30" s="12">
        <f>AC30/AB30*100</f>
        <v>-9.0772435630364079</v>
      </c>
      <c r="AE30" s="12"/>
      <c r="AF30" s="11">
        <v>48606.111409999998</v>
      </c>
      <c r="AG30" s="16">
        <v>45919.668620000004</v>
      </c>
      <c r="AH30" s="11">
        <f>AF30-AG30</f>
        <v>2686.4427899999937</v>
      </c>
      <c r="AI30" s="11">
        <f>AH30/AG30*100</f>
        <v>5.850309618371095</v>
      </c>
      <c r="AJ30" s="12"/>
      <c r="AK30" s="12">
        <f>G30+B30+Q30+V30+AA30+AF30+L30</f>
        <v>437815.28520000004</v>
      </c>
      <c r="AL30" s="12">
        <f>H30+C30+R30+W30+AB30+AG30+M30</f>
        <v>231874.94270000001</v>
      </c>
      <c r="AM30" s="12">
        <f>AK30-AL30</f>
        <v>205940.34250000003</v>
      </c>
      <c r="AN30" s="12">
        <f>AM30/AL30*100</f>
        <v>88.815263996181685</v>
      </c>
    </row>
    <row r="31" spans="1:42" s="15" customFormat="1" ht="15" customHeight="1" x14ac:dyDescent="0.25">
      <c r="A31" s="10" t="s">
        <v>30</v>
      </c>
      <c r="B31" s="11">
        <f>B28-B29-B30</f>
        <v>-58880.953540000017</v>
      </c>
      <c r="C31" s="11">
        <f>C28-C29-C30</f>
        <v>-30329.625939999958</v>
      </c>
      <c r="D31" s="12">
        <f>B31-C31</f>
        <v>-28551.327600000059</v>
      </c>
      <c r="E31" s="12">
        <f>D31/C31*100</f>
        <v>94.136761384667764</v>
      </c>
      <c r="F31" s="12"/>
      <c r="G31" s="12"/>
      <c r="H31" s="12"/>
      <c r="I31" s="12"/>
      <c r="J31" s="12"/>
      <c r="K31" s="12"/>
      <c r="L31" s="11">
        <f>L28-L29-L30</f>
        <v>-420937.51437000005</v>
      </c>
      <c r="M31" s="11">
        <f>M28-M29-M30</f>
        <v>-152646.72380000004</v>
      </c>
      <c r="N31" s="12">
        <f>L31-M31</f>
        <v>-268290.79057000001</v>
      </c>
      <c r="O31" s="12">
        <f t="shared" si="13"/>
        <v>175.75928515931892</v>
      </c>
      <c r="P31" s="12"/>
      <c r="Q31" s="12"/>
      <c r="R31" s="12"/>
      <c r="S31" s="12"/>
      <c r="T31" s="12"/>
      <c r="U31" s="12"/>
      <c r="V31" s="11">
        <f>V28-V29-V30</f>
        <v>1768.7740300000062</v>
      </c>
      <c r="W31" s="11">
        <f>W28-W29-W30</f>
        <v>-466.75345000000209</v>
      </c>
      <c r="X31" s="12">
        <f>V31-W31</f>
        <v>2235.5274800000084</v>
      </c>
      <c r="Y31" s="12">
        <f>X31/W31*100</f>
        <v>-478.95253479111898</v>
      </c>
      <c r="Z31" s="12"/>
      <c r="AA31" s="11">
        <f>AA28-AA29-AA30</f>
        <v>5954.4885300000769</v>
      </c>
      <c r="AB31" s="11">
        <f>AB28-AB29-AB30</f>
        <v>22329.989400000013</v>
      </c>
      <c r="AC31" s="12">
        <f>AA31-AB31</f>
        <v>-16375.500869999936</v>
      </c>
      <c r="AD31" s="12">
        <f>AC31/AB31*100</f>
        <v>-73.334118421032144</v>
      </c>
      <c r="AE31" s="12"/>
      <c r="AF31" s="16">
        <f>+AF28-AF29-AF30</f>
        <v>-7462.0881599999921</v>
      </c>
      <c r="AG31" s="16">
        <f>+AG28-AG29-AG30</f>
        <v>-38426.621030000024</v>
      </c>
      <c r="AH31" s="11">
        <f>AF31-AG31</f>
        <v>30964.532870000032</v>
      </c>
      <c r="AI31" s="11">
        <f>AH31/AG31*100</f>
        <v>-80.580941128874514</v>
      </c>
      <c r="AJ31" s="12"/>
      <c r="AK31" s="12">
        <f>AK28-AK29-AK30</f>
        <v>-479557.29351000005</v>
      </c>
      <c r="AL31" s="12">
        <f>AL28-AL29-AL30</f>
        <v>-199539.73482000027</v>
      </c>
      <c r="AM31" s="12">
        <f>AK31-AL31</f>
        <v>-280017.55868999974</v>
      </c>
      <c r="AN31" s="12">
        <f>AM31/AL31*100</f>
        <v>140.33172838612643</v>
      </c>
    </row>
    <row r="32" spans="1:42" ht="15" customHeight="1" x14ac:dyDescent="0.25">
      <c r="A32" s="10" t="s">
        <v>24</v>
      </c>
      <c r="B32" s="11">
        <f>ROUND((B31/B23*100),0)</f>
        <v>-25</v>
      </c>
      <c r="C32" s="11">
        <f>ROUND((C31/C23*100),0)</f>
        <v>-14</v>
      </c>
      <c r="D32" s="12"/>
      <c r="E32" s="12">
        <f>B32-C32</f>
        <v>-11</v>
      </c>
      <c r="F32" s="12"/>
      <c r="G32" s="12"/>
      <c r="H32" s="12"/>
      <c r="I32" s="12"/>
      <c r="J32" s="12"/>
      <c r="K32" s="12"/>
      <c r="L32" s="11">
        <f>ROUND((L31/L23*100),0)</f>
        <v>-102</v>
      </c>
      <c r="M32" s="11">
        <f>ROUND((M31/M23*100),0)</f>
        <v>-35</v>
      </c>
      <c r="N32" s="12"/>
      <c r="O32" s="12">
        <f>L32-M32</f>
        <v>-67</v>
      </c>
      <c r="P32" s="12"/>
      <c r="Q32" s="12"/>
      <c r="R32" s="12"/>
      <c r="S32" s="12"/>
      <c r="T32" s="12"/>
      <c r="U32" s="12"/>
      <c r="V32" s="11">
        <f>ROUND((V31/V23*100),0)</f>
        <v>7</v>
      </c>
      <c r="W32" s="11">
        <f>ROUND((W31/W23*100),0)</f>
        <v>-2</v>
      </c>
      <c r="X32" s="12"/>
      <c r="Y32" s="12">
        <f>V32-W32</f>
        <v>9</v>
      </c>
      <c r="Z32" s="12"/>
      <c r="AA32" s="11">
        <f>ROUND((AA31/AA23*100),0)</f>
        <v>2</v>
      </c>
      <c r="AB32" s="11">
        <f>ROUND((AB31/AB23*100),0)</f>
        <v>10</v>
      </c>
      <c r="AC32" s="12"/>
      <c r="AD32" s="12">
        <f>AA32-AB32</f>
        <v>-8</v>
      </c>
      <c r="AE32" s="12"/>
      <c r="AF32" s="16">
        <f>ROUND((AF31/AF23*100),0)</f>
        <v>-3</v>
      </c>
      <c r="AG32" s="16">
        <f>ROUND((AG31/AG23*100),0)</f>
        <v>-24</v>
      </c>
      <c r="AH32" s="11"/>
      <c r="AI32" s="11">
        <f>AF32-AG32</f>
        <v>21</v>
      </c>
      <c r="AJ32" s="12"/>
      <c r="AK32" s="12">
        <f>ROUND((AK31/AK23*100),0)</f>
        <v>-41</v>
      </c>
      <c r="AL32" s="12">
        <f>ROUND((AL31/AL23*100),0)</f>
        <v>-19</v>
      </c>
      <c r="AM32" s="12"/>
      <c r="AN32" s="12">
        <f>AK32-AL32</f>
        <v>-22</v>
      </c>
      <c r="AO32" s="15"/>
    </row>
    <row r="33" spans="1:41" s="15" customFormat="1" ht="15" customHeight="1" x14ac:dyDescent="0.25">
      <c r="A33" s="10" t="s">
        <v>31</v>
      </c>
      <c r="B33" s="11">
        <v>0</v>
      </c>
      <c r="C33" s="11">
        <v>0</v>
      </c>
      <c r="D33" s="12">
        <f>B33-C33</f>
        <v>0</v>
      </c>
      <c r="E33" s="12">
        <f>B33-C33</f>
        <v>0</v>
      </c>
      <c r="F33" s="12"/>
      <c r="G33" s="12"/>
      <c r="H33" s="12"/>
      <c r="I33" s="12"/>
      <c r="J33" s="12"/>
      <c r="K33" s="12"/>
      <c r="L33" s="11">
        <v>0</v>
      </c>
      <c r="M33" s="11">
        <v>0</v>
      </c>
      <c r="N33" s="12">
        <f>L33-M33</f>
        <v>0</v>
      </c>
      <c r="O33" s="12">
        <f>L33-M33</f>
        <v>0</v>
      </c>
      <c r="P33" s="12"/>
      <c r="Q33" s="12"/>
      <c r="R33" s="12"/>
      <c r="S33" s="12"/>
      <c r="T33" s="12"/>
      <c r="U33" s="12"/>
      <c r="V33" s="11"/>
      <c r="W33" s="11"/>
      <c r="X33" s="12">
        <f>V33-W33</f>
        <v>0</v>
      </c>
      <c r="Y33" s="12">
        <f>V33-W33</f>
        <v>0</v>
      </c>
      <c r="Z33" s="12"/>
      <c r="AA33" s="11">
        <v>633.76162999999997</v>
      </c>
      <c r="AB33" s="11">
        <v>0</v>
      </c>
      <c r="AC33" s="12">
        <f>AA33-AB33</f>
        <v>633.76162999999997</v>
      </c>
      <c r="AD33" s="12">
        <f>AA33-AB33</f>
        <v>633.76162999999997</v>
      </c>
      <c r="AE33" s="12"/>
      <c r="AF33" s="11">
        <v>0</v>
      </c>
      <c r="AG33" s="16">
        <v>0</v>
      </c>
      <c r="AH33" s="11">
        <f>AF33-AG33</f>
        <v>0</v>
      </c>
      <c r="AI33" s="11">
        <f>AF33-AG33</f>
        <v>0</v>
      </c>
      <c r="AJ33" s="12"/>
      <c r="AK33" s="12">
        <f>G33+B33+Q33+V33+AA33+AF33+L33</f>
        <v>633.76162999999997</v>
      </c>
      <c r="AL33" s="12">
        <f>H33+C33+R33+W33+AB33+AG33+M33</f>
        <v>0</v>
      </c>
      <c r="AM33" s="12">
        <f>AK33-AL33</f>
        <v>633.76162999999997</v>
      </c>
      <c r="AN33" s="12"/>
    </row>
    <row r="34" spans="1:41" s="15" customFormat="1" ht="15" customHeight="1" x14ac:dyDescent="0.25">
      <c r="A34" s="10" t="s">
        <v>32</v>
      </c>
      <c r="B34" s="11">
        <f>B31-B33</f>
        <v>-58880.953540000017</v>
      </c>
      <c r="C34" s="11">
        <f>C31-C33</f>
        <v>-30329.625939999958</v>
      </c>
      <c r="D34" s="12">
        <f>B34-C34</f>
        <v>-28551.327600000059</v>
      </c>
      <c r="E34" s="12">
        <f>D34/C34*100</f>
        <v>94.136761384667764</v>
      </c>
      <c r="F34" s="12"/>
      <c r="G34" s="12"/>
      <c r="H34" s="12"/>
      <c r="I34" s="12"/>
      <c r="J34" s="12"/>
      <c r="K34" s="12"/>
      <c r="L34" s="11">
        <f>L31-L33</f>
        <v>-420937.51437000005</v>
      </c>
      <c r="M34" s="11">
        <f>M31-M33</f>
        <v>-152646.72380000004</v>
      </c>
      <c r="N34" s="12">
        <f>L34-M34</f>
        <v>-268290.79057000001</v>
      </c>
      <c r="O34" s="12">
        <f t="shared" ref="O34" si="14">N34/M34*100</f>
        <v>175.75928515931892</v>
      </c>
      <c r="P34" s="12"/>
      <c r="Q34" s="12"/>
      <c r="R34" s="12"/>
      <c r="S34" s="12"/>
      <c r="T34" s="12"/>
      <c r="U34" s="12"/>
      <c r="V34" s="11">
        <f>V31-V33</f>
        <v>1768.7740300000062</v>
      </c>
      <c r="W34" s="11">
        <f>W31-W33</f>
        <v>-466.75345000000209</v>
      </c>
      <c r="X34" s="12">
        <f>V34-W34</f>
        <v>2235.5274800000084</v>
      </c>
      <c r="Y34" s="12">
        <f>X34/W34*100</f>
        <v>-478.95253479111898</v>
      </c>
      <c r="Z34" s="12"/>
      <c r="AA34" s="11">
        <f>AA31-AA33</f>
        <v>5320.726900000077</v>
      </c>
      <c r="AB34" s="11">
        <f>AB31-AB33</f>
        <v>22329.989400000013</v>
      </c>
      <c r="AC34" s="12">
        <f>AA34-AB34</f>
        <v>-17009.262499999935</v>
      </c>
      <c r="AD34" s="12">
        <f>AC34/AB34*100</f>
        <v>-76.172282016398654</v>
      </c>
      <c r="AE34" s="12"/>
      <c r="AF34" s="16">
        <f>+AF31-AF33</f>
        <v>-7462.0881599999921</v>
      </c>
      <c r="AG34" s="16">
        <f>+AG31-AG33</f>
        <v>-38426.621030000024</v>
      </c>
      <c r="AH34" s="11">
        <f>AF34-AG34</f>
        <v>30964.532870000032</v>
      </c>
      <c r="AI34" s="11">
        <f>AH34/AG34*100</f>
        <v>-80.580941128874514</v>
      </c>
      <c r="AJ34" s="12"/>
      <c r="AK34" s="12">
        <f>AK31-AK33</f>
        <v>-480191.05514000007</v>
      </c>
      <c r="AL34" s="12">
        <f>AL31-AL33</f>
        <v>-199539.73482000027</v>
      </c>
      <c r="AM34" s="12">
        <f>AK34-AL34</f>
        <v>-280651.32031999982</v>
      </c>
      <c r="AN34" s="12">
        <f>AM34/AL34*100</f>
        <v>140.6493401292571</v>
      </c>
    </row>
    <row r="35" spans="1:41" ht="15" customHeight="1" x14ac:dyDescent="0.25">
      <c r="A35" s="10" t="s">
        <v>24</v>
      </c>
      <c r="B35" s="11">
        <f>ROUND((B34/B23*100),0)</f>
        <v>-25</v>
      </c>
      <c r="C35" s="11">
        <f>ROUND((C34/C23*100),0)</f>
        <v>-14</v>
      </c>
      <c r="D35" s="12"/>
      <c r="E35" s="12">
        <f>B35-C35</f>
        <v>-11</v>
      </c>
      <c r="F35" s="12"/>
      <c r="G35" s="12"/>
      <c r="H35" s="12"/>
      <c r="I35" s="12"/>
      <c r="J35" s="12"/>
      <c r="K35" s="12"/>
      <c r="L35" s="11">
        <f>ROUND((L34/L23*100),0)</f>
        <v>-102</v>
      </c>
      <c r="M35" s="11">
        <f>ROUND((M34/M23*100),0)</f>
        <v>-35</v>
      </c>
      <c r="N35" s="12"/>
      <c r="O35" s="12">
        <f>L35-M35</f>
        <v>-67</v>
      </c>
      <c r="P35" s="12"/>
      <c r="Q35" s="12"/>
      <c r="R35" s="12"/>
      <c r="S35" s="12"/>
      <c r="T35" s="12"/>
      <c r="U35" s="12"/>
      <c r="V35" s="11">
        <f>ROUND((V34/V23*100),0)</f>
        <v>7</v>
      </c>
      <c r="W35" s="11">
        <f>ROUND((W34/W23*100),0)</f>
        <v>-2</v>
      </c>
      <c r="X35" s="12"/>
      <c r="Y35" s="12">
        <f>V35-W35</f>
        <v>9</v>
      </c>
      <c r="Z35" s="12"/>
      <c r="AA35" s="11">
        <f>ROUND((AA34/AA23*100),0)</f>
        <v>2</v>
      </c>
      <c r="AB35" s="11">
        <f>ROUND((AB34/AB23*100),0)</f>
        <v>10</v>
      </c>
      <c r="AC35" s="12"/>
      <c r="AD35" s="12">
        <f>AA35-AB35</f>
        <v>-8</v>
      </c>
      <c r="AE35" s="12"/>
      <c r="AF35" s="16">
        <f>ROUND((AF34/AF23*100),0)</f>
        <v>-3</v>
      </c>
      <c r="AG35" s="16">
        <f>ROUND((AG34/AG23*100),0)</f>
        <v>-24</v>
      </c>
      <c r="AH35" s="11"/>
      <c r="AI35" s="11">
        <f>AF35-AG35</f>
        <v>21</v>
      </c>
      <c r="AJ35" s="12"/>
      <c r="AK35" s="12">
        <f>ROUND((AK34/AK23*100),0)</f>
        <v>-41</v>
      </c>
      <c r="AL35" s="12">
        <f>ROUND((AL34/AL23*100),0)</f>
        <v>-19</v>
      </c>
      <c r="AM35" s="12"/>
      <c r="AN35" s="12">
        <f>AK35-AL35</f>
        <v>-22</v>
      </c>
      <c r="AO35" s="15"/>
    </row>
    <row r="36" spans="1:41" ht="15" customHeigh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2"/>
      <c r="T36" s="12"/>
      <c r="U36" s="12"/>
      <c r="V36" s="11"/>
      <c r="W36" s="11"/>
      <c r="X36" s="12"/>
      <c r="Y36" s="12"/>
      <c r="Z36" s="12"/>
      <c r="AA36" s="11"/>
      <c r="AB36" s="11"/>
      <c r="AC36" s="12"/>
      <c r="AD36" s="12"/>
      <c r="AE36" s="12"/>
      <c r="AF36" s="16"/>
      <c r="AG36" s="16"/>
      <c r="AH36" s="11"/>
      <c r="AI36" s="11"/>
      <c r="AJ36" s="12"/>
      <c r="AK36" s="12"/>
      <c r="AL36" s="12"/>
      <c r="AM36" s="12"/>
      <c r="AN36" s="12"/>
      <c r="AO36" s="15"/>
    </row>
    <row r="37" spans="1:41" ht="15.6" x14ac:dyDescent="0.3">
      <c r="A37" s="31" t="s">
        <v>33</v>
      </c>
      <c r="B37" s="28"/>
      <c r="C37" s="2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1"/>
      <c r="AG37" s="11"/>
      <c r="AH37" s="11"/>
      <c r="AI37" s="11"/>
      <c r="AJ37" s="12"/>
      <c r="AK37" s="12"/>
      <c r="AL37" s="12"/>
      <c r="AM37" s="12"/>
      <c r="AN37" s="12"/>
      <c r="AO37" s="15"/>
    </row>
    <row r="38" spans="1:41" x14ac:dyDescent="0.25">
      <c r="A38" s="15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11"/>
      <c r="AH38" s="11"/>
      <c r="AI38" s="11"/>
      <c r="AJ38" s="12"/>
      <c r="AK38" s="12"/>
      <c r="AL38" s="12"/>
      <c r="AM38" s="12"/>
      <c r="AN38" s="12"/>
      <c r="AO38" s="15"/>
    </row>
    <row r="39" spans="1:41" s="15" customFormat="1" ht="15" customHeight="1" x14ac:dyDescent="0.25">
      <c r="A39" s="10" t="s">
        <v>34</v>
      </c>
      <c r="B39" s="11">
        <v>16171.010199999999</v>
      </c>
      <c r="C39" s="11">
        <v>24355.237829999998</v>
      </c>
      <c r="D39" s="12">
        <f>B39-C39</f>
        <v>-8184.2276299999994</v>
      </c>
      <c r="E39" s="12">
        <f>D39/C39*100</f>
        <v>-33.603562761842262</v>
      </c>
      <c r="F39" s="12"/>
      <c r="G39" s="12"/>
      <c r="H39" s="12"/>
      <c r="I39" s="12"/>
      <c r="J39" s="12"/>
      <c r="K39" s="12"/>
      <c r="L39" s="12">
        <f>+(6389756.78+100000)/1000</f>
        <v>6489.7567800000006</v>
      </c>
      <c r="M39" s="12">
        <f>11520655.65/1000</f>
        <v>11520.655650000001</v>
      </c>
      <c r="N39" s="12">
        <f>L39-M39</f>
        <v>-5030.89887</v>
      </c>
      <c r="O39" s="12">
        <f t="shared" ref="O39" si="15">N39/M39*100</f>
        <v>-43.668511783007766</v>
      </c>
      <c r="P39" s="12"/>
      <c r="Q39" s="12"/>
      <c r="R39" s="12"/>
      <c r="S39" s="12"/>
      <c r="T39" s="12"/>
      <c r="U39" s="12"/>
      <c r="V39" s="11">
        <v>6265.7</v>
      </c>
      <c r="W39" s="11">
        <v>3730.13</v>
      </c>
      <c r="X39" s="12">
        <f>V39-W39</f>
        <v>2535.5699999999997</v>
      </c>
      <c r="Y39" s="12">
        <f>X39/W39*100</f>
        <v>67.975378874194732</v>
      </c>
      <c r="Z39" s="12"/>
      <c r="AA39" s="11">
        <v>73514.255659999995</v>
      </c>
      <c r="AB39" s="11">
        <v>74822.463749999995</v>
      </c>
      <c r="AC39" s="12">
        <f>AA39-AB39</f>
        <v>-1308.2080900000001</v>
      </c>
      <c r="AD39" s="12">
        <f>AC39/AB39*100</f>
        <v>-1.7484162167808865</v>
      </c>
      <c r="AE39" s="12"/>
      <c r="AF39" s="11">
        <v>43408.13</v>
      </c>
      <c r="AG39" s="16">
        <v>28014.9</v>
      </c>
      <c r="AH39" s="11">
        <v>-14028</v>
      </c>
      <c r="AI39" s="11">
        <f>AH39/AG39*100</f>
        <v>-50.0733538224302</v>
      </c>
      <c r="AJ39" s="12"/>
      <c r="AK39" s="12">
        <f t="shared" ref="AK39:AL41" si="16">G39+B39+Q39+V39+AA39+AF39+L39</f>
        <v>145848.85264</v>
      </c>
      <c r="AL39" s="12">
        <f t="shared" si="16"/>
        <v>142443.38722999999</v>
      </c>
      <c r="AM39" s="12">
        <f>AK39-AL39</f>
        <v>3405.4654100000043</v>
      </c>
      <c r="AN39" s="12">
        <f>AM39/AL39*100</f>
        <v>2.3907500911230644</v>
      </c>
    </row>
    <row r="40" spans="1:41" s="15" customFormat="1" ht="15" customHeight="1" x14ac:dyDescent="0.25">
      <c r="A40" s="10" t="s">
        <v>35</v>
      </c>
      <c r="B40" s="11">
        <v>0</v>
      </c>
      <c r="C40" s="11">
        <v>0</v>
      </c>
      <c r="D40" s="12">
        <f>B40-C40</f>
        <v>0</v>
      </c>
      <c r="E40" s="12"/>
      <c r="F40" s="12"/>
      <c r="G40" s="12"/>
      <c r="H40" s="12"/>
      <c r="I40" s="12"/>
      <c r="J40" s="12"/>
      <c r="K40" s="12"/>
      <c r="L40" s="12">
        <v>0</v>
      </c>
      <c r="M40" s="12">
        <v>0</v>
      </c>
      <c r="N40" s="12">
        <f>L40-M40</f>
        <v>0</v>
      </c>
      <c r="O40" s="12"/>
      <c r="P40" s="12"/>
      <c r="Q40" s="12"/>
      <c r="R40" s="12"/>
      <c r="S40" s="12"/>
      <c r="T40" s="12"/>
      <c r="U40" s="12"/>
      <c r="V40" s="11">
        <v>0</v>
      </c>
      <c r="W40" s="11">
        <v>0</v>
      </c>
      <c r="X40" s="12">
        <f>V40-W40</f>
        <v>0</v>
      </c>
      <c r="Y40" s="12"/>
      <c r="Z40" s="12"/>
      <c r="AA40" s="11">
        <v>20159.689260000003</v>
      </c>
      <c r="AB40" s="11">
        <v>11823.68727</v>
      </c>
      <c r="AC40" s="12">
        <f>AA40-AB40</f>
        <v>8336.0019900000025</v>
      </c>
      <c r="AD40" s="12">
        <f>AC40/AB40*100</f>
        <v>70.502558124577348</v>
      </c>
      <c r="AE40" s="12"/>
      <c r="AF40" s="11">
        <v>0</v>
      </c>
      <c r="AG40" s="16">
        <v>0</v>
      </c>
      <c r="AH40" s="11">
        <v>-146</v>
      </c>
      <c r="AI40" s="11"/>
      <c r="AJ40" s="12"/>
      <c r="AK40" s="12">
        <f t="shared" si="16"/>
        <v>20159.689260000003</v>
      </c>
      <c r="AL40" s="12">
        <f t="shared" si="16"/>
        <v>11823.68727</v>
      </c>
      <c r="AM40" s="12">
        <f>AK40-AL40</f>
        <v>8336.0019900000025</v>
      </c>
      <c r="AN40" s="12">
        <f>AM40/AL40*100</f>
        <v>70.502558124577348</v>
      </c>
    </row>
    <row r="41" spans="1:41" s="15" customFormat="1" ht="15" customHeight="1" x14ac:dyDescent="0.25">
      <c r="A41" s="10" t="s">
        <v>36</v>
      </c>
      <c r="B41" s="11">
        <v>-23782.389600000002</v>
      </c>
      <c r="C41" s="11">
        <v>-10833.225269999999</v>
      </c>
      <c r="D41" s="12">
        <f>B41-C41</f>
        <v>-12949.164330000003</v>
      </c>
      <c r="E41" s="12">
        <f>D41/C41*100</f>
        <v>119.53194000183478</v>
      </c>
      <c r="F41" s="12"/>
      <c r="G41" s="12"/>
      <c r="H41" s="12"/>
      <c r="I41" s="12"/>
      <c r="J41" s="12"/>
      <c r="K41" s="12"/>
      <c r="L41" s="12">
        <v>0</v>
      </c>
      <c r="M41" s="12">
        <v>0</v>
      </c>
      <c r="N41" s="12">
        <f>L41-M41</f>
        <v>0</v>
      </c>
      <c r="O41" s="12"/>
      <c r="P41" s="12"/>
      <c r="Q41" s="12"/>
      <c r="R41" s="12"/>
      <c r="S41" s="12"/>
      <c r="T41" s="12"/>
      <c r="U41" s="12"/>
      <c r="V41" s="11">
        <v>676.5</v>
      </c>
      <c r="W41" s="11">
        <v>775.7</v>
      </c>
      <c r="X41" s="12">
        <f>V41-W41</f>
        <v>-99.200000000000045</v>
      </c>
      <c r="Y41" s="12">
        <f>X41/W41*100</f>
        <v>-12.788449142709815</v>
      </c>
      <c r="Z41" s="12"/>
      <c r="AA41" s="11">
        <v>30746.054670000001</v>
      </c>
      <c r="AB41" s="11">
        <v>26520.295309999998</v>
      </c>
      <c r="AC41" s="12">
        <f>AA41-AB41</f>
        <v>4225.7593600000037</v>
      </c>
      <c r="AD41" s="12">
        <f>AC41/AB41*100</f>
        <v>15.934058465806745</v>
      </c>
      <c r="AE41" s="12"/>
      <c r="AF41" s="11">
        <v>2361.14</v>
      </c>
      <c r="AG41" s="16">
        <v>4646.9399999999996</v>
      </c>
      <c r="AH41" s="11">
        <v>-7721</v>
      </c>
      <c r="AI41" s="11">
        <f>AH41/AG41*100</f>
        <v>-166.15234971830927</v>
      </c>
      <c r="AJ41" s="12"/>
      <c r="AK41" s="12">
        <f t="shared" si="16"/>
        <v>10001.305069999999</v>
      </c>
      <c r="AL41" s="12">
        <f t="shared" si="16"/>
        <v>21109.710039999998</v>
      </c>
      <c r="AM41" s="12">
        <f>AK41-AL41</f>
        <v>-11108.40497</v>
      </c>
      <c r="AN41" s="12">
        <f>AM41/AL41*100</f>
        <v>-52.622252740331824</v>
      </c>
    </row>
    <row r="42" spans="1:41" s="15" customFormat="1" ht="15" customHeight="1" x14ac:dyDescent="0.25">
      <c r="A42" s="10" t="s">
        <v>37</v>
      </c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2"/>
      <c r="Y42" s="12"/>
      <c r="Z42" s="12"/>
      <c r="AA42" s="11"/>
      <c r="AB42" s="11"/>
      <c r="AC42" s="12"/>
      <c r="AD42" s="12"/>
      <c r="AE42" s="12"/>
      <c r="AF42" s="11"/>
      <c r="AG42" s="16"/>
      <c r="AH42" s="11"/>
      <c r="AI42" s="11"/>
      <c r="AJ42" s="12"/>
      <c r="AK42" s="12"/>
      <c r="AL42" s="12"/>
      <c r="AM42" s="12"/>
      <c r="AN42" s="12"/>
    </row>
    <row r="43" spans="1:41" s="15" customFormat="1" ht="15" hidden="1" customHeight="1" x14ac:dyDescent="0.25">
      <c r="A43" s="10" t="s">
        <v>38</v>
      </c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2"/>
      <c r="Y43" s="12"/>
      <c r="Z43" s="12"/>
      <c r="AA43" s="11"/>
      <c r="AB43" s="11"/>
      <c r="AC43" s="12"/>
      <c r="AD43" s="12"/>
      <c r="AE43" s="12"/>
      <c r="AF43" s="11"/>
      <c r="AG43" s="16"/>
      <c r="AH43" s="11"/>
      <c r="AI43" s="11"/>
      <c r="AJ43" s="12"/>
      <c r="AK43" s="12"/>
      <c r="AL43" s="12"/>
      <c r="AM43" s="12"/>
      <c r="AN43" s="12"/>
    </row>
    <row r="44" spans="1:41" s="15" customFormat="1" ht="15" hidden="1" customHeight="1" x14ac:dyDescent="0.25">
      <c r="A44" s="10" t="s">
        <v>39</v>
      </c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  <c r="W44" s="11"/>
      <c r="X44" s="12"/>
      <c r="Y44" s="12"/>
      <c r="Z44" s="12"/>
      <c r="AA44" s="11"/>
      <c r="AB44" s="11"/>
      <c r="AC44" s="12"/>
      <c r="AD44" s="12"/>
      <c r="AE44" s="12"/>
      <c r="AF44" s="11"/>
      <c r="AG44" s="20"/>
      <c r="AH44" s="11"/>
      <c r="AI44" s="11"/>
      <c r="AJ44" s="12"/>
      <c r="AK44" s="12"/>
      <c r="AL44" s="12"/>
      <c r="AM44" s="12"/>
      <c r="AN44" s="12"/>
    </row>
    <row r="45" spans="1:41" s="15" customFormat="1" ht="15" hidden="1" customHeight="1" x14ac:dyDescent="0.25">
      <c r="A45" s="10" t="s">
        <v>40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1"/>
      <c r="X45" s="12"/>
      <c r="Y45" s="12"/>
      <c r="Z45" s="12"/>
      <c r="AA45" s="11"/>
      <c r="AB45" s="11"/>
      <c r="AC45" s="12"/>
      <c r="AD45" s="12"/>
      <c r="AE45" s="12"/>
      <c r="AF45" s="11"/>
      <c r="AG45" s="16"/>
      <c r="AH45" s="11"/>
      <c r="AI45" s="11"/>
      <c r="AJ45" s="12"/>
      <c r="AK45" s="12"/>
      <c r="AL45" s="12"/>
      <c r="AM45" s="12"/>
      <c r="AN45" s="12"/>
    </row>
    <row r="46" spans="1:41" s="15" customFormat="1" ht="15" hidden="1" customHeight="1" x14ac:dyDescent="0.25">
      <c r="A46" s="10" t="s">
        <v>41</v>
      </c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1"/>
      <c r="W46" s="11"/>
      <c r="X46" s="12"/>
      <c r="Y46" s="12"/>
      <c r="Z46" s="12"/>
      <c r="AA46" s="11"/>
      <c r="AB46" s="11"/>
      <c r="AC46" s="12"/>
      <c r="AD46" s="12"/>
      <c r="AE46" s="12"/>
      <c r="AF46" s="11"/>
      <c r="AG46" s="16"/>
      <c r="AH46" s="11"/>
      <c r="AI46" s="11"/>
      <c r="AJ46" s="12"/>
      <c r="AK46" s="12"/>
      <c r="AL46" s="12"/>
      <c r="AM46" s="12"/>
      <c r="AN46" s="12"/>
    </row>
    <row r="47" spans="1:41" s="15" customFormat="1" ht="15" hidden="1" customHeight="1" x14ac:dyDescent="0.25">
      <c r="A47" s="10" t="s">
        <v>42</v>
      </c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1"/>
      <c r="X47" s="12"/>
      <c r="Y47" s="12"/>
      <c r="Z47" s="12"/>
      <c r="AA47" s="11"/>
      <c r="AB47" s="11"/>
      <c r="AC47" s="12"/>
      <c r="AD47" s="12"/>
      <c r="AE47" s="12"/>
      <c r="AF47" s="11"/>
      <c r="AG47" s="20"/>
      <c r="AH47" s="11"/>
      <c r="AI47" s="11"/>
      <c r="AJ47" s="12"/>
      <c r="AK47" s="12"/>
      <c r="AL47" s="12"/>
      <c r="AM47" s="12"/>
      <c r="AN47" s="12"/>
    </row>
    <row r="48" spans="1:41" s="15" customFormat="1" ht="15" customHeight="1" x14ac:dyDescent="0.25">
      <c r="A48" s="10" t="s">
        <v>43</v>
      </c>
      <c r="B48" s="11">
        <v>308572.26</v>
      </c>
      <c r="C48" s="11">
        <v>279329.2</v>
      </c>
      <c r="D48" s="12">
        <f>B48-C48</f>
        <v>29243.059999999998</v>
      </c>
      <c r="E48" s="12">
        <f>D48/C48*100</f>
        <v>10.469030806661099</v>
      </c>
      <c r="F48" s="12"/>
      <c r="G48" s="12"/>
      <c r="H48" s="12"/>
      <c r="I48" s="12"/>
      <c r="J48" s="12"/>
      <c r="K48" s="12"/>
      <c r="L48" s="12">
        <f>411531762.2/1000</f>
        <v>411531.7622</v>
      </c>
      <c r="M48" s="12">
        <f>440065964/1000</f>
        <v>440065.96399999998</v>
      </c>
      <c r="N48" s="12">
        <f>L48-M48</f>
        <v>-28534.201799999981</v>
      </c>
      <c r="O48" s="12">
        <f t="shared" ref="O48" si="17">N48/M48*100</f>
        <v>-6.4840737830840256</v>
      </c>
      <c r="P48" s="12"/>
      <c r="Q48" s="11"/>
      <c r="R48" s="11"/>
      <c r="S48" s="12"/>
      <c r="T48" s="12"/>
      <c r="U48" s="12"/>
      <c r="V48" s="11">
        <v>20422.45</v>
      </c>
      <c r="W48" s="11">
        <v>17097.400000000001</v>
      </c>
      <c r="X48" s="12">
        <f>V48-W48</f>
        <v>3325.0499999999993</v>
      </c>
      <c r="Y48" s="12">
        <f>X48/W48*100</f>
        <v>19.447693801396699</v>
      </c>
      <c r="Z48" s="12"/>
      <c r="AA48" s="11">
        <v>718322.08</v>
      </c>
      <c r="AB48" s="11">
        <v>657447.65</v>
      </c>
      <c r="AC48" s="12">
        <f>AA48-AB48</f>
        <v>60874.429999999935</v>
      </c>
      <c r="AD48" s="12">
        <f>AC48/AB48*100</f>
        <v>9.2592056569066639</v>
      </c>
      <c r="AE48" s="12"/>
      <c r="AF48" s="11">
        <v>708925.3</v>
      </c>
      <c r="AG48" s="16">
        <v>611747.34</v>
      </c>
      <c r="AH48" s="11">
        <v>-305793</v>
      </c>
      <c r="AI48" s="11">
        <f>AH48/AG48*100</f>
        <v>-49.986813183364234</v>
      </c>
      <c r="AJ48" s="12"/>
      <c r="AK48" s="12">
        <f>G48+B48+Q48+V48+AA48+AF48+L48</f>
        <v>2167773.8522000001</v>
      </c>
      <c r="AL48" s="12">
        <f>H48+C48+R48+W48+AB48+AG48+M48</f>
        <v>2005687.5539999998</v>
      </c>
      <c r="AM48" s="12">
        <v>-977929</v>
      </c>
      <c r="AN48" s="12">
        <v>-64.24487087682877</v>
      </c>
    </row>
    <row r="49" spans="1:42" s="35" customFormat="1" ht="15" customHeight="1" x14ac:dyDescent="0.25">
      <c r="A49" s="34" t="s">
        <v>44</v>
      </c>
      <c r="B49" s="14">
        <f>B48/(B15/6)</f>
        <v>6.8069336406083032</v>
      </c>
      <c r="C49" s="14">
        <f>C48/(C15/6)</f>
        <v>6.8959567397230508</v>
      </c>
      <c r="D49" s="13">
        <f>B49-C49</f>
        <v>-8.9023099114747595E-2</v>
      </c>
      <c r="E49" s="12">
        <f>D49/C49*100</f>
        <v>-1.2909463106394554</v>
      </c>
      <c r="F49" s="13"/>
      <c r="G49" s="13"/>
      <c r="H49" s="13"/>
      <c r="I49" s="13"/>
      <c r="J49" s="13"/>
      <c r="K49" s="13"/>
      <c r="L49" s="14">
        <f>L48/(L15/6)</f>
        <v>6</v>
      </c>
      <c r="M49" s="14">
        <f>M48/(M15/6)</f>
        <v>6</v>
      </c>
      <c r="N49" s="13">
        <f>L49-M49</f>
        <v>0</v>
      </c>
      <c r="O49" s="13"/>
      <c r="P49" s="13"/>
      <c r="Q49" s="13"/>
      <c r="R49" s="13"/>
      <c r="S49" s="13"/>
      <c r="T49" s="13"/>
      <c r="U49" s="13"/>
      <c r="V49" s="14">
        <f>V48/(V15/6)</f>
        <v>4.1414908432168671</v>
      </c>
      <c r="W49" s="14">
        <f>W48/(W15/6)</f>
        <v>4.3452844530210628</v>
      </c>
      <c r="X49" s="13">
        <f>V49-W49</f>
        <v>-0.2037936098041957</v>
      </c>
      <c r="Y49" s="12">
        <f>X49/W49*100</f>
        <v>-4.689994682914441</v>
      </c>
      <c r="Z49" s="13"/>
      <c r="AA49" s="14">
        <f>AA48/(AA15/6)</f>
        <v>14.883903584105543</v>
      </c>
      <c r="AB49" s="14">
        <f>AB48/(AB15/6)</f>
        <v>15.933592764312245</v>
      </c>
      <c r="AC49" s="13">
        <f>AA49-AB49</f>
        <v>-1.0496891802067019</v>
      </c>
      <c r="AD49" s="12">
        <f>AC49/AB49*100</f>
        <v>-6.5879001411268376</v>
      </c>
      <c r="AE49" s="13"/>
      <c r="AF49" s="14">
        <f>AF48/(AF15/6)</f>
        <v>16.876364414533665</v>
      </c>
      <c r="AG49" s="14">
        <f>AG48/(AG15/6)</f>
        <v>19.482279518083732</v>
      </c>
      <c r="AH49" s="14">
        <f>AF49-AG49</f>
        <v>-2.6059151035500676</v>
      </c>
      <c r="AI49" s="11">
        <f>AH49/AG49*100</f>
        <v>-13.375822378131982</v>
      </c>
      <c r="AJ49" s="13"/>
      <c r="AK49" s="13">
        <f>AK48/(AK15/6)</f>
        <v>10.366145802813877</v>
      </c>
      <c r="AL49" s="13">
        <f>AL48/(AL15/6)</f>
        <v>10.531463421831345</v>
      </c>
      <c r="AM49" s="13">
        <v>-4.3513544938381994</v>
      </c>
      <c r="AN49" s="12">
        <v>-29.17926471670016</v>
      </c>
    </row>
    <row r="50" spans="1:42" ht="15" customHeight="1" x14ac:dyDescent="0.25">
      <c r="A50" s="10" t="s">
        <v>45</v>
      </c>
      <c r="B50" s="28"/>
      <c r="C50" s="28"/>
      <c r="D50" s="12"/>
      <c r="E50" s="12"/>
      <c r="F50" s="12"/>
      <c r="G50" s="25"/>
      <c r="H50" s="25"/>
      <c r="I50" s="12"/>
      <c r="J50" s="12"/>
      <c r="K50" s="12"/>
      <c r="L50" s="25"/>
      <c r="M50" s="25"/>
      <c r="N50" s="12"/>
      <c r="O50" s="12"/>
      <c r="P50" s="12"/>
      <c r="Q50" s="25"/>
      <c r="R50" s="25"/>
      <c r="S50" s="12"/>
      <c r="T50" s="12"/>
      <c r="U50" s="12"/>
      <c r="V50" s="28"/>
      <c r="W50" s="28"/>
      <c r="X50" s="12"/>
      <c r="Y50" s="12"/>
      <c r="Z50" s="12"/>
      <c r="AA50" s="28"/>
      <c r="AB50" s="28"/>
      <c r="AC50" s="12"/>
      <c r="AD50" s="12"/>
      <c r="AE50" s="12"/>
      <c r="AF50" s="28"/>
      <c r="AG50" s="16"/>
      <c r="AH50" s="11"/>
      <c r="AI50" s="11"/>
      <c r="AJ50" s="12"/>
      <c r="AK50" s="12"/>
      <c r="AL50" s="12"/>
      <c r="AM50" s="12"/>
      <c r="AN50" s="12"/>
      <c r="AO50" s="15"/>
      <c r="AP50" s="19"/>
    </row>
    <row r="51" spans="1:42" s="15" customFormat="1" ht="15" customHeight="1" x14ac:dyDescent="0.25">
      <c r="A51" s="10" t="s">
        <v>43</v>
      </c>
      <c r="B51" s="11">
        <v>2012188.98</v>
      </c>
      <c r="C51" s="11">
        <v>1931263.6</v>
      </c>
      <c r="D51" s="12">
        <f>B51-C51</f>
        <v>80925.379999999888</v>
      </c>
      <c r="E51" s="12">
        <f>D51/C51*100</f>
        <v>4.1902814302511517</v>
      </c>
      <c r="F51" s="12"/>
      <c r="G51" s="12"/>
      <c r="H51" s="12"/>
      <c r="I51" s="12"/>
      <c r="J51" s="12"/>
      <c r="K51" s="12"/>
      <c r="L51" s="12">
        <f>+(7696990332.41+6121441946.14+327181574.24+212508328.65+1506124878.6+704261036.97+195206739.72+54130041.06+18942164.31)/1000</f>
        <v>16836787.042099997</v>
      </c>
      <c r="M51" s="12">
        <f>+(1917625384.58+46694276.75+47494276.75+1690681430.91)/1000</f>
        <v>3702495.3689899999</v>
      </c>
      <c r="N51" s="12">
        <f>L51-M51</f>
        <v>13134291.673109997</v>
      </c>
      <c r="O51" s="12">
        <f t="shared" ref="O51:O52" si="18">N51/M51*100</f>
        <v>354.74160975636516</v>
      </c>
      <c r="P51" s="12"/>
      <c r="Q51" s="12"/>
      <c r="R51" s="12"/>
      <c r="S51" s="12"/>
      <c r="T51" s="12"/>
      <c r="U51" s="12"/>
      <c r="V51" s="11">
        <v>3763.11</v>
      </c>
      <c r="W51" s="11">
        <v>3438.03</v>
      </c>
      <c r="X51" s="12">
        <f>V51-W51</f>
        <v>325.07999999999993</v>
      </c>
      <c r="Y51" s="12"/>
      <c r="Z51" s="12"/>
      <c r="AA51" s="11">
        <v>1701978.48</v>
      </c>
      <c r="AB51" s="11">
        <v>1668290.77</v>
      </c>
      <c r="AC51" s="12">
        <f>AA51-AB51</f>
        <v>33687.709999999963</v>
      </c>
      <c r="AD51" s="12">
        <f>AC51/AB51*100</f>
        <v>2.0192948738786085</v>
      </c>
      <c r="AE51" s="12"/>
      <c r="AF51" s="11">
        <v>2074300.29</v>
      </c>
      <c r="AG51" s="11">
        <v>1971103.03</v>
      </c>
      <c r="AH51" s="11">
        <f>AF51-AG51</f>
        <v>103197.26000000001</v>
      </c>
      <c r="AI51" s="11">
        <f>AH51/AG51*100</f>
        <v>5.2355081611335157</v>
      </c>
      <c r="AJ51" s="12"/>
      <c r="AK51" s="12">
        <f>G51+B51+Q51+V51+AA51+AF51+L51</f>
        <v>22629017.902099997</v>
      </c>
      <c r="AL51" s="12">
        <f>H51+C51+R51+W51+AB51+AG51+M51</f>
        <v>9276590.79899</v>
      </c>
      <c r="AM51" s="12">
        <v>-1382374</v>
      </c>
      <c r="AN51" s="12">
        <v>-31.014417578038938</v>
      </c>
    </row>
    <row r="52" spans="1:42" s="35" customFormat="1" ht="15" customHeight="1" x14ac:dyDescent="0.25">
      <c r="A52" s="34" t="s">
        <v>46</v>
      </c>
      <c r="B52" s="14">
        <f>B51/(B24/6)</f>
        <v>60.09202934154272</v>
      </c>
      <c r="C52" s="14">
        <f>C51/(C24/6)</f>
        <v>69.584239853436912</v>
      </c>
      <c r="D52" s="13">
        <f>B52-C52</f>
        <v>-9.4922105118941928</v>
      </c>
      <c r="E52" s="12">
        <f>D52/C52*100</f>
        <v>-13.641322419972305</v>
      </c>
      <c r="F52" s="13"/>
      <c r="G52" s="13"/>
      <c r="H52" s="13"/>
      <c r="I52" s="13"/>
      <c r="J52" s="13"/>
      <c r="K52" s="13"/>
      <c r="L52" s="14">
        <f>L51/(L24/6)</f>
        <v>277.71762853629849</v>
      </c>
      <c r="M52" s="14">
        <f>M51/(M24/6)</f>
        <v>66.892049872602655</v>
      </c>
      <c r="N52" s="13">
        <f>L52-M52</f>
        <v>210.82557866369584</v>
      </c>
      <c r="O52" s="12">
        <f t="shared" si="18"/>
        <v>315.17284799197762</v>
      </c>
      <c r="P52" s="13"/>
      <c r="Q52" s="13"/>
      <c r="R52" s="13"/>
      <c r="S52" s="13"/>
      <c r="T52" s="13"/>
      <c r="U52" s="13"/>
      <c r="V52" s="14">
        <f>V51/(V24/6)</f>
        <v>1.2136019412690366</v>
      </c>
      <c r="W52" s="14">
        <f>W51/(W24/6)</f>
        <v>1.3768347410974169</v>
      </c>
      <c r="X52" s="13">
        <f>V52-W52</f>
        <v>-0.16323279982838024</v>
      </c>
      <c r="Y52" s="12"/>
      <c r="Z52" s="13"/>
      <c r="AA52" s="14">
        <f>AA51/(AA24/6)</f>
        <v>46.658415589619871</v>
      </c>
      <c r="AB52" s="14">
        <f>AB51/(AB24/6)</f>
        <v>62.110551064819155</v>
      </c>
      <c r="AC52" s="13">
        <f>AA52-AB52</f>
        <v>-15.452135475199285</v>
      </c>
      <c r="AD52" s="12">
        <f>AC52/AB52*100</f>
        <v>-24.878438864716063</v>
      </c>
      <c r="AE52" s="13"/>
      <c r="AF52" s="14">
        <f>AF51/(AF24/6)</f>
        <v>78.155086402147774</v>
      </c>
      <c r="AG52" s="14">
        <f>AG51/(AG24/6)</f>
        <v>88.119582923494775</v>
      </c>
      <c r="AH52" s="14">
        <f>AF52-AG52</f>
        <v>-9.9644965213470016</v>
      </c>
      <c r="AI52" s="11">
        <f>AH52/AG52*100</f>
        <v>-11.307925197510473</v>
      </c>
      <c r="AJ52" s="13"/>
      <c r="AK52" s="13">
        <f>AK51/(AK24/6)</f>
        <v>141.22860942706063</v>
      </c>
      <c r="AL52" s="13">
        <f>AL51/(AL24/6)</f>
        <v>68.802021439328854</v>
      </c>
      <c r="AM52" s="13">
        <v>23.750317995757804</v>
      </c>
      <c r="AN52" s="12">
        <v>41.303220444275524</v>
      </c>
    </row>
    <row r="53" spans="1:42" s="15" customFormat="1" ht="15" customHeight="1" x14ac:dyDescent="0.25">
      <c r="A53" s="10" t="s">
        <v>47</v>
      </c>
      <c r="B53" s="11">
        <v>9950.3425000000007</v>
      </c>
      <c r="C53" s="11">
        <v>13870.484901666669</v>
      </c>
      <c r="D53" s="12">
        <f>B53-C53</f>
        <v>-3920.1424016666679</v>
      </c>
      <c r="E53" s="12">
        <f>D53/C53*100</f>
        <v>-28.262475533177835</v>
      </c>
      <c r="F53" s="12"/>
      <c r="G53" s="12"/>
      <c r="H53" s="12"/>
      <c r="I53" s="12"/>
      <c r="J53" s="12"/>
      <c r="K53" s="12"/>
      <c r="L53" s="21">
        <f>+(19500000/6)/1000</f>
        <v>3250</v>
      </c>
      <c r="M53" s="21">
        <f>+(500000+3013266)/1000</f>
        <v>3513.2660000000001</v>
      </c>
      <c r="N53" s="12"/>
      <c r="O53" s="12"/>
      <c r="P53" s="12"/>
      <c r="Q53" s="12"/>
      <c r="R53" s="12"/>
      <c r="S53" s="12"/>
      <c r="T53" s="12"/>
      <c r="U53" s="12"/>
      <c r="V53" s="11">
        <v>3159.4057083333337</v>
      </c>
      <c r="W53" s="11">
        <v>2584.9665633333334</v>
      </c>
      <c r="X53" s="12">
        <f>V53-W53</f>
        <v>574.43914500000028</v>
      </c>
      <c r="Y53" s="12">
        <f>X53/W53*100</f>
        <v>22.222304657560322</v>
      </c>
      <c r="Z53" s="12"/>
      <c r="AA53" s="11">
        <v>18863.820166666668</v>
      </c>
      <c r="AB53" s="11">
        <v>18058.638994444445</v>
      </c>
      <c r="AC53" s="12">
        <f>AA53-AB53</f>
        <v>805.18117222222281</v>
      </c>
      <c r="AD53" s="12">
        <f>AC53/AB53*100</f>
        <v>4.4587035184098234</v>
      </c>
      <c r="AE53" s="12"/>
      <c r="AF53" s="11">
        <v>26019.171865</v>
      </c>
      <c r="AG53" s="11">
        <v>16392.706391666667</v>
      </c>
      <c r="AH53" s="11">
        <f>AF53-AG53</f>
        <v>9626.4654733333336</v>
      </c>
      <c r="AI53" s="11">
        <f>AH53/AG53*100</f>
        <v>58.724076691979342</v>
      </c>
      <c r="AJ53" s="12"/>
      <c r="AK53" s="12">
        <f>G53+Q53+AA53+AF53</f>
        <v>44882.992031666668</v>
      </c>
      <c r="AL53" s="12">
        <f>H53+R53+AB53+AG53</f>
        <v>34451.345386111112</v>
      </c>
      <c r="AM53" s="12">
        <v>-13893.666666666664</v>
      </c>
      <c r="AN53" s="12">
        <v>-28.944133884240124</v>
      </c>
    </row>
    <row r="54" spans="1:42" s="15" customFormat="1" ht="15" customHeight="1" x14ac:dyDescent="0.25">
      <c r="A54" s="10" t="s">
        <v>48</v>
      </c>
      <c r="B54" s="11">
        <v>2927.7619900000004</v>
      </c>
      <c r="C54" s="11">
        <v>2491.6154500000002</v>
      </c>
      <c r="D54" s="12">
        <f>B54-C54</f>
        <v>436.14654000000019</v>
      </c>
      <c r="E54" s="12">
        <f>D54/C54*100</f>
        <v>17.50456877284174</v>
      </c>
      <c r="F54" s="12"/>
      <c r="G54" s="12"/>
      <c r="H54" s="12"/>
      <c r="I54" s="12"/>
      <c r="J54" s="12"/>
      <c r="K54" s="12"/>
      <c r="L54" s="12">
        <f>9092591.54/1000</f>
        <v>9092.5915399999994</v>
      </c>
      <c r="M54" s="12">
        <f>+(6032471.34+60000)/1000</f>
        <v>6092.4713400000001</v>
      </c>
      <c r="N54" s="12">
        <f>L54-M54</f>
        <v>3000.1201999999994</v>
      </c>
      <c r="O54" s="12">
        <f t="shared" ref="O54" si="19">N54/M54*100</f>
        <v>49.243074486091871</v>
      </c>
      <c r="P54" s="12"/>
      <c r="Q54" s="12"/>
      <c r="R54" s="12"/>
      <c r="S54" s="12"/>
      <c r="T54" s="12"/>
      <c r="U54" s="12"/>
      <c r="V54" s="11">
        <v>31.471060000000001</v>
      </c>
      <c r="W54" s="11">
        <v>33.87106</v>
      </c>
      <c r="X54" s="12">
        <f>V54-W54</f>
        <v>-2.3999999999999986</v>
      </c>
      <c r="Y54" s="12">
        <f>X54/W54*100</f>
        <v>-7.0856949856307967</v>
      </c>
      <c r="Z54" s="12"/>
      <c r="AA54" s="11">
        <v>718.38995999999997</v>
      </c>
      <c r="AB54" s="11">
        <v>599.54895999999997</v>
      </c>
      <c r="AC54" s="12">
        <f>AA54-AB54</f>
        <v>118.84100000000001</v>
      </c>
      <c r="AD54" s="12">
        <f>AC54/AB54*100</f>
        <v>19.821733991499212</v>
      </c>
      <c r="AE54" s="12"/>
      <c r="AF54" s="11">
        <v>3002.0938999999998</v>
      </c>
      <c r="AG54" s="11">
        <v>3247.6234300000001</v>
      </c>
      <c r="AH54" s="11">
        <f>AF54-AG54</f>
        <v>-245.52953000000025</v>
      </c>
      <c r="AI54" s="11">
        <f>AH54/AG54*100</f>
        <v>-7.5602832437996117</v>
      </c>
      <c r="AJ54" s="12"/>
      <c r="AK54" s="12">
        <f>G54+B54+Q54+V54+AA54+AF54+L54</f>
        <v>15772.30845</v>
      </c>
      <c r="AL54" s="12">
        <f>H54+C54+R54+W54+AB54+AG54+M54</f>
        <v>12465.13024</v>
      </c>
      <c r="AM54" s="12">
        <v>-8429</v>
      </c>
      <c r="AN54" s="12">
        <v>-82.913633680897107</v>
      </c>
    </row>
    <row r="55" spans="1:42" s="15" customFormat="1" ht="15" customHeight="1" x14ac:dyDescent="0.25">
      <c r="A55" s="10" t="s">
        <v>49</v>
      </c>
      <c r="B55" s="29">
        <v>7078.2974300000005</v>
      </c>
      <c r="C55" s="11">
        <v>4028.3426499999996</v>
      </c>
      <c r="D55" s="12">
        <f>B55-C55</f>
        <v>3049.9547800000009</v>
      </c>
      <c r="E55" s="12">
        <f>D55/C55*100</f>
        <v>75.712397007737195</v>
      </c>
      <c r="F55" s="12"/>
      <c r="G55" s="12"/>
      <c r="H55" s="12"/>
      <c r="I55" s="12"/>
      <c r="J55" s="12"/>
      <c r="K55" s="12"/>
      <c r="L55" s="21">
        <f>+(5839945.58+764283.86)/1000</f>
        <v>6604.2294400000001</v>
      </c>
      <c r="M55" s="21">
        <v>0</v>
      </c>
      <c r="N55" s="12"/>
      <c r="O55" s="12"/>
      <c r="P55" s="12"/>
      <c r="Q55" s="12"/>
      <c r="R55" s="12"/>
      <c r="S55" s="12"/>
      <c r="T55" s="12"/>
      <c r="U55" s="12"/>
      <c r="V55" s="11">
        <v>451.33684</v>
      </c>
      <c r="W55" s="11">
        <v>479.23859999999996</v>
      </c>
      <c r="X55" s="12">
        <f>V55-W55</f>
        <v>-27.901759999999967</v>
      </c>
      <c r="Y55" s="12">
        <f>X55/W55*100</f>
        <v>-5.8221019759259729</v>
      </c>
      <c r="Z55" s="12"/>
      <c r="AA55" s="29">
        <v>3950.2069700000002</v>
      </c>
      <c r="AB55" s="11">
        <v>3120.8749800000001</v>
      </c>
      <c r="AC55" s="12">
        <f>AA55-AB55</f>
        <v>829.33199000000013</v>
      </c>
      <c r="AD55" s="12">
        <f>AC55/AB55*100</f>
        <v>26.573701135570644</v>
      </c>
      <c r="AE55" s="12"/>
      <c r="AF55" s="11">
        <v>3402.4541599999998</v>
      </c>
      <c r="AG55" s="11">
        <v>2762.5466999999999</v>
      </c>
      <c r="AH55" s="11">
        <f>AF55-AG55</f>
        <v>639.9074599999999</v>
      </c>
      <c r="AI55" s="11"/>
      <c r="AJ55" s="12"/>
      <c r="AK55" s="12">
        <f>G55+Q55+AA55+AF55</f>
        <v>7352.6611300000004</v>
      </c>
      <c r="AL55" s="12">
        <f>H55+R55+AB55+AG55</f>
        <v>5883.4216799999995</v>
      </c>
      <c r="AM55" s="12">
        <v>-5779</v>
      </c>
      <c r="AN55" s="12">
        <v>-31.178850822767735</v>
      </c>
    </row>
    <row r="56" spans="1:42" ht="15" hidden="1" customHeight="1" x14ac:dyDescent="0.25">
      <c r="A56" s="10" t="s">
        <v>50</v>
      </c>
      <c r="B56" s="11">
        <f>B16</f>
        <v>10208.641609999999</v>
      </c>
      <c r="C56" s="11">
        <f>C16</f>
        <v>9891.6254900000004</v>
      </c>
      <c r="D56" s="12">
        <v>0</v>
      </c>
      <c r="E56" s="12">
        <v>0</v>
      </c>
      <c r="F56" s="12"/>
      <c r="G56" s="12"/>
      <c r="H56" s="12"/>
      <c r="I56" s="12"/>
      <c r="J56" s="12"/>
      <c r="K56" s="12"/>
      <c r="L56" s="12">
        <f>+L16</f>
        <v>0</v>
      </c>
      <c r="M56" s="12">
        <f>+M16</f>
        <v>0</v>
      </c>
      <c r="N56" s="12">
        <v>0</v>
      </c>
      <c r="O56" s="12">
        <v>0</v>
      </c>
      <c r="P56" s="12"/>
      <c r="Q56" s="12"/>
      <c r="R56" s="12"/>
      <c r="S56" s="12"/>
      <c r="T56" s="12"/>
      <c r="U56" s="12"/>
      <c r="V56" s="11">
        <f>V16</f>
        <v>1065.2564600000001</v>
      </c>
      <c r="W56" s="11">
        <f>W16</f>
        <v>951.33058000000005</v>
      </c>
      <c r="X56" s="12">
        <v>0</v>
      </c>
      <c r="Y56" s="12">
        <v>0</v>
      </c>
      <c r="Z56" s="12"/>
      <c r="AA56" s="11">
        <f>AA16</f>
        <v>10514.16633</v>
      </c>
      <c r="AB56" s="11">
        <f>AB16</f>
        <v>9621.08842</v>
      </c>
      <c r="AC56" s="12">
        <v>-766.4078626999999</v>
      </c>
      <c r="AD56" s="12">
        <v>-5.6726478600134493</v>
      </c>
      <c r="AE56" s="12"/>
      <c r="AF56" s="11">
        <f>+AF16</f>
        <v>8886.3581699999995</v>
      </c>
      <c r="AG56" s="11">
        <f>+AG16</f>
        <v>7906.2143599999999</v>
      </c>
      <c r="AH56" s="11">
        <v>0</v>
      </c>
      <c r="AI56" s="11">
        <v>0</v>
      </c>
      <c r="AJ56" s="12"/>
      <c r="AK56" s="12">
        <f>+AK16</f>
        <v>30674.422569999999</v>
      </c>
      <c r="AL56" s="12">
        <f>+AL16</f>
        <v>28370.258849999998</v>
      </c>
      <c r="AM56" s="12">
        <v>-766.40786269999808</v>
      </c>
      <c r="AN56" s="12">
        <v>-1.8429806318251536</v>
      </c>
      <c r="AO56" s="15"/>
      <c r="AP56" s="22"/>
    </row>
    <row r="57" spans="1:42" x14ac:dyDescent="0.25">
      <c r="A57" s="15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32"/>
      <c r="AE57" s="12"/>
      <c r="AF57" s="11"/>
      <c r="AG57" s="11"/>
      <c r="AH57" s="11"/>
      <c r="AI57" s="11"/>
      <c r="AJ57" s="12"/>
      <c r="AK57" s="12"/>
      <c r="AL57" s="12"/>
      <c r="AM57" s="12"/>
      <c r="AN57" s="12"/>
      <c r="AO57" s="15"/>
      <c r="AP57" s="23"/>
    </row>
    <row r="58" spans="1:42" ht="15.6" x14ac:dyDescent="0.3">
      <c r="A58" s="31" t="s">
        <v>51</v>
      </c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32"/>
      <c r="AE58" s="12"/>
      <c r="AF58" s="11"/>
      <c r="AG58" s="11"/>
      <c r="AH58" s="11"/>
      <c r="AI58" s="11"/>
      <c r="AJ58" s="12"/>
      <c r="AK58" s="12"/>
      <c r="AL58" s="12"/>
      <c r="AM58" s="12"/>
      <c r="AN58" s="12"/>
      <c r="AO58" s="15"/>
      <c r="AP58" s="23"/>
    </row>
    <row r="59" spans="1:42" s="15" customFormat="1" ht="16.5" customHeight="1" x14ac:dyDescent="0.25">
      <c r="A59" s="10" t="s">
        <v>52</v>
      </c>
      <c r="B59" s="11">
        <f>+'[5]financial profile(mcso)'!$D$149</f>
        <v>23353.748860000003</v>
      </c>
      <c r="C59" s="11">
        <v>15317.980379999999</v>
      </c>
      <c r="D59" s="12">
        <f>B59-C59</f>
        <v>8035.7684800000043</v>
      </c>
      <c r="E59" s="12">
        <f>D59/C59*100</f>
        <v>52.459712577331331</v>
      </c>
      <c r="F59" s="12"/>
      <c r="G59" s="11"/>
      <c r="H59" s="11"/>
      <c r="I59" s="12"/>
      <c r="J59" s="12"/>
      <c r="K59" s="12"/>
      <c r="L59" s="11">
        <f>+'[5]financial profile(mcso)'!$D$151</f>
        <v>269927.26741000003</v>
      </c>
      <c r="M59" s="11">
        <v>257863.04402999999</v>
      </c>
      <c r="N59" s="12">
        <f>L59-M59</f>
        <v>12064.223380000039</v>
      </c>
      <c r="O59" s="12">
        <f>N59/M59*100</f>
        <v>4.6785391157472249</v>
      </c>
      <c r="P59" s="12"/>
      <c r="Q59" s="11"/>
      <c r="R59" s="11"/>
      <c r="S59" s="12"/>
      <c r="T59" s="12"/>
      <c r="U59" s="12"/>
      <c r="V59" s="11">
        <f>+'[5]financial profile(mcso)'!$D$153</f>
        <v>5842.9277699999993</v>
      </c>
      <c r="W59" s="11">
        <v>4347.9903400000003</v>
      </c>
      <c r="X59" s="12">
        <f>V59-W59</f>
        <v>1494.937429999999</v>
      </c>
      <c r="Y59" s="12">
        <f>X59/W59*100</f>
        <v>34.382261990030067</v>
      </c>
      <c r="Z59" s="12"/>
      <c r="AA59" s="11">
        <f>+'[5]financial profile(mcso)'!$D$154</f>
        <v>46399.455179999997</v>
      </c>
      <c r="AB59" s="11">
        <v>42728.815179999998</v>
      </c>
      <c r="AC59" s="12">
        <f>AA59-AB59</f>
        <v>3670.6399999999994</v>
      </c>
      <c r="AD59" s="12">
        <f>AC59/AB59*100</f>
        <v>8.5905494559982785</v>
      </c>
      <c r="AE59" s="12"/>
      <c r="AF59" s="11">
        <f>+'[5]financial profile(mcso)'!$D$155</f>
        <v>39837.83339</v>
      </c>
      <c r="AG59" s="11">
        <v>35369.241390000003</v>
      </c>
      <c r="AH59" s="11">
        <f>AF59-AG59</f>
        <v>4468.5919999999969</v>
      </c>
      <c r="AI59" s="11">
        <f>AH59/AG59*100</f>
        <v>12.634118868219232</v>
      </c>
      <c r="AJ59" s="12"/>
      <c r="AK59" s="12">
        <f>G59+B59+Q59+V59+AA59+AF59+L59</f>
        <v>385361.23261000001</v>
      </c>
      <c r="AL59" s="12">
        <f>H59+C59+R59+W59+AB59+AG59+M59</f>
        <v>355627.07131999999</v>
      </c>
      <c r="AM59" s="12">
        <f>AK59-AL59</f>
        <v>29734.161290000018</v>
      </c>
      <c r="AN59" s="12">
        <f>AM59/AL59*100</f>
        <v>8.3610511369773235</v>
      </c>
    </row>
    <row r="60" spans="1:42" s="15" customFormat="1" ht="15" customHeight="1" x14ac:dyDescent="0.25">
      <c r="A60" s="10" t="s">
        <v>53</v>
      </c>
      <c r="B60" s="11">
        <f>+'[5]financial profile(mcso)'!$E$149</f>
        <v>21427.007239999999</v>
      </c>
      <c r="C60" s="11">
        <v>15385.855320000001</v>
      </c>
      <c r="D60" s="12">
        <f>B60-C60</f>
        <v>6041.1519199999984</v>
      </c>
      <c r="E60" s="12">
        <f>D60/C60*100</f>
        <v>39.264322940481144</v>
      </c>
      <c r="F60" s="12"/>
      <c r="G60" s="11"/>
      <c r="H60" s="11"/>
      <c r="I60" s="12"/>
      <c r="J60" s="12"/>
      <c r="K60" s="12"/>
      <c r="L60" s="11">
        <f>+'[5]financial profile(mcso)'!$E$151</f>
        <v>21813.982640000002</v>
      </c>
      <c r="M60" s="11">
        <v>21813.982640000002</v>
      </c>
      <c r="N60" s="12">
        <f>L60-M60</f>
        <v>0</v>
      </c>
      <c r="O60" s="12">
        <f>N60/M60*100</f>
        <v>0</v>
      </c>
      <c r="P60" s="12"/>
      <c r="Q60" s="11"/>
      <c r="R60" s="11"/>
      <c r="S60" s="12"/>
      <c r="T60" s="12"/>
      <c r="U60" s="12"/>
      <c r="V60" s="11">
        <f>+'[5]financial profile(mcso)'!$E$153</f>
        <v>5087.6362600000002</v>
      </c>
      <c r="W60" s="11">
        <v>4112.6152599999996</v>
      </c>
      <c r="X60" s="12">
        <f>V60-W60</f>
        <v>975.02100000000064</v>
      </c>
      <c r="Y60" s="12">
        <f>X60/W60*100</f>
        <v>23.708052865611375</v>
      </c>
      <c r="Z60" s="12"/>
      <c r="AA60" s="11">
        <f>+'[5]financial profile(mcso)'!$E$154</f>
        <v>47440.669070000004</v>
      </c>
      <c r="AB60" s="11">
        <v>43770.029069999997</v>
      </c>
      <c r="AC60" s="12">
        <f>AA60-AB60</f>
        <v>3670.6400000000067</v>
      </c>
      <c r="AD60" s="12">
        <f>AC60/AB60*100</f>
        <v>8.3861950242931549</v>
      </c>
      <c r="AE60" s="12"/>
      <c r="AF60" s="11">
        <f>+'[5]financial profile(mcso)'!$E$155</f>
        <v>40084.284850000004</v>
      </c>
      <c r="AG60" s="11">
        <v>35688.609799999998</v>
      </c>
      <c r="AH60" s="11">
        <f>AF60-AG60</f>
        <v>4395.6750500000053</v>
      </c>
      <c r="AI60" s="11">
        <f>AH60/AG60*100</f>
        <v>12.316744963262776</v>
      </c>
      <c r="AJ60" s="12"/>
      <c r="AK60" s="12">
        <f>G60+B60+Q60+V60+AA60+AF60+L60</f>
        <v>135853.58006000001</v>
      </c>
      <c r="AL60" s="12">
        <f>H60+C60+R60+W60+AB60+AG60+M60</f>
        <v>120771.09208999999</v>
      </c>
      <c r="AM60" s="12">
        <f>AK60-AL60</f>
        <v>15082.487970000017</v>
      </c>
      <c r="AN60" s="12">
        <f>AM60/AL60*100</f>
        <v>12.488491831108371</v>
      </c>
    </row>
    <row r="61" spans="1:42" s="35" customFormat="1" ht="15" customHeight="1" x14ac:dyDescent="0.25">
      <c r="A61" s="36" t="s">
        <v>54</v>
      </c>
      <c r="B61" s="14">
        <f>+'[5]financial profile(mcso)'!$I$149</f>
        <v>0.77728648280119028</v>
      </c>
      <c r="C61" s="14">
        <v>-7.3539942381473572E-2</v>
      </c>
      <c r="D61" s="13">
        <f>B61-C61</f>
        <v>0.85082642518266383</v>
      </c>
      <c r="E61" s="12">
        <f>D61/C61*100</f>
        <v>-1156.9582428677656</v>
      </c>
      <c r="F61" s="13"/>
      <c r="G61" s="14"/>
      <c r="H61" s="14"/>
      <c r="I61" s="13"/>
      <c r="J61" s="13"/>
      <c r="K61" s="13"/>
      <c r="L61" s="14">
        <f>+'[5]financial profile(mcso)'!$I$151</f>
        <v>67.121585824957123</v>
      </c>
      <c r="M61" s="14">
        <v>63.857875839565658</v>
      </c>
      <c r="N61" s="13">
        <f>L61-M61</f>
        <v>3.2637099853914648</v>
      </c>
      <c r="O61" s="12">
        <f>N61/M61*100</f>
        <v>5.1108965691109089</v>
      </c>
      <c r="P61" s="13"/>
      <c r="Q61" s="14"/>
      <c r="R61" s="14"/>
      <c r="S61" s="13"/>
      <c r="T61" s="13"/>
      <c r="U61" s="13"/>
      <c r="V61" s="14">
        <f>+'[5]financial profile(mcso)'!$I$153</f>
        <v>0</v>
      </c>
      <c r="W61" s="14">
        <v>0</v>
      </c>
      <c r="X61" s="13">
        <f>V61-W61</f>
        <v>0</v>
      </c>
      <c r="Y61" s="12"/>
      <c r="Z61" s="13"/>
      <c r="AA61" s="14">
        <f>+'[5]financial profile(mcso)'!$I$154</f>
        <v>-1.1346401608438925</v>
      </c>
      <c r="AB61" s="14">
        <v>-1.1346401608438845</v>
      </c>
      <c r="AC61" s="13">
        <f>AA61-AB61</f>
        <v>-7.9936057773011271E-15</v>
      </c>
      <c r="AD61" s="12">
        <f>AC61/AB61*100</f>
        <v>7.0450580308702552E-13</v>
      </c>
      <c r="AE61" s="13"/>
      <c r="AF61" s="14">
        <f>+'[5]financial profile(mcso)'!$I$155</f>
        <v>-0.21706574996675454</v>
      </c>
      <c r="AG61" s="14">
        <v>-0.30059306647490636</v>
      </c>
      <c r="AH61" s="14">
        <f>AF61-AG61</f>
        <v>8.3527316508151817E-2</v>
      </c>
      <c r="AI61" s="11">
        <f>AH61/AG61*100</f>
        <v>-27.787506041868305</v>
      </c>
      <c r="AJ61" s="13"/>
      <c r="AK61" s="13">
        <f>+'[5]financial profile(mcso)'!$I$156</f>
        <v>25.05013286736872</v>
      </c>
      <c r="AL61" s="13">
        <v>27.886177155656647</v>
      </c>
      <c r="AM61" s="13">
        <f>AK61-AL61</f>
        <v>-2.8360442882879262</v>
      </c>
      <c r="AN61" s="12">
        <f>AM61/AL61*100</f>
        <v>-10.170071976727154</v>
      </c>
    </row>
    <row r="62" spans="1:42" s="15" customFormat="1" ht="15" customHeight="1" x14ac:dyDescent="0.25">
      <c r="A62" s="24" t="s">
        <v>55</v>
      </c>
      <c r="B62" s="11">
        <f>+'[5]financial profile(mcso)'!$F$149</f>
        <v>1926.7416200000043</v>
      </c>
      <c r="C62" s="11">
        <v>-67.874940000001516</v>
      </c>
      <c r="D62" s="12">
        <f>B62-C62</f>
        <v>1994.6165600000058</v>
      </c>
      <c r="E62" s="12">
        <f>D62/C62*100</f>
        <v>-2938.664196240853</v>
      </c>
      <c r="F62" s="12"/>
      <c r="G62" s="11"/>
      <c r="H62" s="11"/>
      <c r="I62" s="12"/>
      <c r="J62" s="12"/>
      <c r="K62" s="12"/>
      <c r="L62" s="11">
        <f>+'[5]financial profile(mcso)'!$F$151</f>
        <v>248113.28477000003</v>
      </c>
      <c r="M62" s="11">
        <v>236049.06138999999</v>
      </c>
      <c r="N62" s="12">
        <f>L62-M62</f>
        <v>12064.223380000039</v>
      </c>
      <c r="O62" s="12">
        <f>N62/M62*100</f>
        <v>5.1108965691109205</v>
      </c>
      <c r="P62" s="12"/>
      <c r="Q62" s="11"/>
      <c r="R62" s="11"/>
      <c r="S62" s="12"/>
      <c r="T62" s="12"/>
      <c r="U62" s="12"/>
      <c r="V62" s="11">
        <f>+'[5]financial profile(mcso)'!$F$153</f>
        <v>755.29150999999911</v>
      </c>
      <c r="W62" s="11">
        <v>235.37508000000071</v>
      </c>
      <c r="X62" s="12">
        <f>V62-W62</f>
        <v>519.9164299999984</v>
      </c>
      <c r="Y62" s="12">
        <f>X62/W62*100</f>
        <v>220.88847723386723</v>
      </c>
      <c r="Z62" s="12"/>
      <c r="AA62" s="11">
        <f>+'[5]financial profile(mcso)'!$F$154</f>
        <v>-1041.2138900000064</v>
      </c>
      <c r="AB62" s="11">
        <v>-1041.2138899999991</v>
      </c>
      <c r="AC62" s="12">
        <f>AA62-AB62</f>
        <v>-7.2759576141834259E-12</v>
      </c>
      <c r="AD62" s="12">
        <f>AC62/AB62*100</f>
        <v>6.9879567340226625E-13</v>
      </c>
      <c r="AE62" s="12"/>
      <c r="AF62" s="11">
        <f>+'[5]financial profile(mcso)'!$F$155</f>
        <v>-246.45146000000386</v>
      </c>
      <c r="AG62" s="11">
        <v>-319.36840999999549</v>
      </c>
      <c r="AH62" s="11">
        <f>AF62-AG62</f>
        <v>72.91694999999163</v>
      </c>
      <c r="AI62" s="11">
        <f>AH62/AG62*100</f>
        <v>-22.831610051849729</v>
      </c>
      <c r="AJ62" s="12"/>
      <c r="AK62" s="12">
        <f>G62+B62+Q62+V62+AA62+AF62+L62</f>
        <v>249507.65255000003</v>
      </c>
      <c r="AL62" s="12">
        <f>H62+C62+R62+W62+AB62+AG62+M62</f>
        <v>234855.97923</v>
      </c>
      <c r="AM62" s="12">
        <f>AK62-AL62</f>
        <v>14651.673320000031</v>
      </c>
      <c r="AN62" s="12">
        <f>AM62/AL62*100</f>
        <v>6.2385779438262894</v>
      </c>
    </row>
    <row r="63" spans="1:42" s="15" customFormat="1" ht="15" customHeight="1" x14ac:dyDescent="0.25">
      <c r="A63" s="10" t="s">
        <v>56</v>
      </c>
      <c r="B63" s="11">
        <f>+'[5]financial profile(mcso)'!$K$149</f>
        <v>73030.526559999998</v>
      </c>
      <c r="C63" s="11">
        <v>56585.021460000004</v>
      </c>
      <c r="D63" s="12">
        <f>B63-C63</f>
        <v>16445.505099999995</v>
      </c>
      <c r="E63" s="12">
        <f>D63/C63*100</f>
        <v>29.063354003718693</v>
      </c>
      <c r="F63" s="12"/>
      <c r="G63" s="11"/>
      <c r="H63" s="11"/>
      <c r="I63" s="12"/>
      <c r="J63" s="12"/>
      <c r="K63" s="12"/>
      <c r="L63" s="11">
        <f>+'[5]financial profile(mcso)'!$K$151</f>
        <v>276521.92483999999</v>
      </c>
      <c r="M63" s="11">
        <v>268078.18446000002</v>
      </c>
      <c r="N63" s="12">
        <f>L63-M63</f>
        <v>8443.7403799999738</v>
      </c>
      <c r="O63" s="12">
        <f>N63/M63*100</f>
        <v>3.1497305150020014</v>
      </c>
      <c r="P63" s="12"/>
      <c r="Q63" s="11"/>
      <c r="R63" s="11"/>
      <c r="S63" s="12"/>
      <c r="T63" s="12"/>
      <c r="U63" s="12"/>
      <c r="V63" s="11">
        <f>+'[5]financial profile(mcso)'!$K$153</f>
        <v>12789.926509999999</v>
      </c>
      <c r="W63" s="11">
        <v>9386.9510800000007</v>
      </c>
      <c r="X63" s="12">
        <f>V63-W63</f>
        <v>3402.9754299999986</v>
      </c>
      <c r="Y63" s="12">
        <f>X63/W63*100</f>
        <v>36.252190951015358</v>
      </c>
      <c r="Z63" s="12"/>
      <c r="AA63" s="11">
        <f>+'[5]financial profile(mcso)'!$K$154</f>
        <v>23681.546109999999</v>
      </c>
      <c r="AB63" s="11">
        <v>26233.467109999998</v>
      </c>
      <c r="AC63" s="12">
        <f>AA63-AB63</f>
        <v>-2551.9209999999985</v>
      </c>
      <c r="AD63" s="12">
        <f>AC63/AB63*100</f>
        <v>-9.7277305714090136</v>
      </c>
      <c r="AE63" s="12"/>
      <c r="AF63" s="11">
        <f>+'[5]financial profile(mcso)'!$K$155</f>
        <v>34320.994210000004</v>
      </c>
      <c r="AG63" s="11">
        <v>27231.952309999997</v>
      </c>
      <c r="AH63" s="11">
        <f>AF63-AG63</f>
        <v>7089.0419000000074</v>
      </c>
      <c r="AI63" s="11">
        <f>AH63/AG63*100</f>
        <v>26.032073717303039</v>
      </c>
      <c r="AJ63" s="12"/>
      <c r="AK63" s="12">
        <f>G63+B63+Q63+V63+AA63+AF63+L63</f>
        <v>420344.91823000001</v>
      </c>
      <c r="AL63" s="12">
        <f>H63+C63+R63+W63+AB63+AG63+M63</f>
        <v>387515.57642</v>
      </c>
      <c r="AM63" s="12">
        <f>AK63-AL63</f>
        <v>32829.341810000013</v>
      </c>
      <c r="AN63" s="12">
        <f>AM63/AL63*100</f>
        <v>8.4717476683875734</v>
      </c>
    </row>
    <row r="64" spans="1:42" ht="12" customHeight="1" x14ac:dyDescent="0.25">
      <c r="A64" s="15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32"/>
      <c r="AD64" s="32"/>
      <c r="AE64" s="12"/>
      <c r="AF64" s="11"/>
      <c r="AG64" s="11"/>
      <c r="AH64" s="11"/>
      <c r="AI64" s="11"/>
      <c r="AJ64" s="12"/>
      <c r="AK64" s="12"/>
      <c r="AL64" s="12"/>
      <c r="AM64" s="12"/>
      <c r="AN64" s="12"/>
      <c r="AO64" s="15"/>
    </row>
    <row r="65" spans="1:41" ht="15.6" x14ac:dyDescent="0.3">
      <c r="A65" s="31" t="s">
        <v>57</v>
      </c>
      <c r="B65" s="33"/>
      <c r="C65" s="3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32"/>
      <c r="AE65" s="12"/>
      <c r="AF65" s="11"/>
      <c r="AG65" s="11"/>
      <c r="AH65" s="11"/>
      <c r="AI65" s="11"/>
      <c r="AJ65" s="12"/>
      <c r="AK65" s="12"/>
      <c r="AL65" s="12"/>
      <c r="AM65" s="12"/>
      <c r="AN65" s="12"/>
      <c r="AO65" s="15"/>
    </row>
    <row r="66" spans="1:41" ht="15.6" x14ac:dyDescent="0.3">
      <c r="A66" s="15"/>
      <c r="B66" s="33"/>
      <c r="C66" s="3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32"/>
      <c r="AD66" s="32"/>
      <c r="AE66" s="12"/>
      <c r="AF66" s="11"/>
      <c r="AG66" s="11"/>
      <c r="AH66" s="11"/>
      <c r="AI66" s="11"/>
      <c r="AJ66" s="12"/>
      <c r="AK66" s="12"/>
      <c r="AL66" s="12"/>
      <c r="AM66" s="12"/>
      <c r="AN66" s="12"/>
      <c r="AO66" s="15"/>
    </row>
    <row r="67" spans="1:41" s="15" customFormat="1" ht="15" customHeight="1" x14ac:dyDescent="0.25">
      <c r="A67" s="10" t="s">
        <v>58</v>
      </c>
      <c r="B67" s="11">
        <v>32527.466439999997</v>
      </c>
      <c r="C67" s="11">
        <f>31616582.2/1000</f>
        <v>31616.582200000001</v>
      </c>
      <c r="D67" s="12">
        <f>B67-C67</f>
        <v>910.88423999999577</v>
      </c>
      <c r="E67" s="12">
        <f>D67/C67*100</f>
        <v>2.8810332319854477</v>
      </c>
      <c r="F67" s="12"/>
      <c r="G67" s="12"/>
      <c r="H67" s="12"/>
      <c r="I67" s="12"/>
      <c r="J67" s="12"/>
      <c r="K67" s="12"/>
      <c r="L67" s="25">
        <f>100710336/1000</f>
        <v>100710.336</v>
      </c>
      <c r="M67" s="21">
        <v>112694.905</v>
      </c>
      <c r="N67" s="12">
        <f>L67-M67</f>
        <v>-11984.569000000003</v>
      </c>
      <c r="O67" s="12">
        <f>N67/M67*100</f>
        <v>-10.634526024046965</v>
      </c>
      <c r="P67" s="12"/>
      <c r="Q67" s="21"/>
      <c r="R67" s="21"/>
      <c r="S67" s="12"/>
      <c r="T67" s="12"/>
      <c r="U67" s="12"/>
      <c r="V67" s="12"/>
      <c r="W67" s="12"/>
      <c r="X67" s="11"/>
      <c r="Y67" s="11"/>
      <c r="Z67" s="12"/>
      <c r="AA67" s="11">
        <v>31332.644</v>
      </c>
      <c r="AB67" s="11">
        <v>29401.288000000004</v>
      </c>
      <c r="AC67" s="12">
        <f>AA67-AB67</f>
        <v>1931.3559999999961</v>
      </c>
      <c r="AD67" s="12">
        <f>AC67/AB67*100</f>
        <v>6.568950312652956</v>
      </c>
      <c r="AE67" s="12"/>
      <c r="AF67" s="11">
        <v>26120.642980000004</v>
      </c>
      <c r="AG67" s="11"/>
      <c r="AH67" s="11">
        <f>AF67-AG67</f>
        <v>26120.642980000004</v>
      </c>
      <c r="AI67" s="11"/>
      <c r="AJ67" s="12"/>
      <c r="AK67" s="12">
        <f t="shared" ref="AK67:AL69" si="20">G67+B67+Q67+V67+AA67+AF67+L67</f>
        <v>190691.08941999997</v>
      </c>
      <c r="AL67" s="12">
        <f t="shared" si="20"/>
        <v>173712.7752</v>
      </c>
      <c r="AM67" s="12">
        <f>AK67-AL67</f>
        <v>16978.314219999971</v>
      </c>
      <c r="AN67" s="12">
        <f>AM67/AL67*100</f>
        <v>9.7737856069896996</v>
      </c>
    </row>
    <row r="68" spans="1:41" s="15" customFormat="1" ht="15" customHeight="1" x14ac:dyDescent="0.25">
      <c r="A68" s="10" t="s">
        <v>59</v>
      </c>
      <c r="B68" s="11">
        <v>24569.534399999997</v>
      </c>
      <c r="C68" s="11">
        <f>24569534.4/1000</f>
        <v>24569.534399999997</v>
      </c>
      <c r="D68" s="12">
        <f>B68-C68</f>
        <v>0</v>
      </c>
      <c r="E68" s="12">
        <f>D68/C68*100</f>
        <v>0</v>
      </c>
      <c r="F68" s="12"/>
      <c r="G68" s="12"/>
      <c r="H68" s="12"/>
      <c r="I68" s="12"/>
      <c r="J68" s="12"/>
      <c r="K68" s="12"/>
      <c r="L68" s="12">
        <f>71104970/1000</f>
        <v>71104.97</v>
      </c>
      <c r="M68" s="12">
        <v>65559.231</v>
      </c>
      <c r="N68" s="12">
        <f>L68-M68</f>
        <v>5545.7390000000014</v>
      </c>
      <c r="O68" s="12">
        <f>N68/M68*100</f>
        <v>8.45912759409884</v>
      </c>
      <c r="P68" s="12"/>
      <c r="Q68" s="12"/>
      <c r="R68" s="12"/>
      <c r="S68" s="12"/>
      <c r="T68" s="12"/>
      <c r="U68" s="12"/>
      <c r="V68" s="12"/>
      <c r="W68" s="12"/>
      <c r="X68" s="11"/>
      <c r="Y68" s="11"/>
      <c r="Z68" s="12"/>
      <c r="AA68" s="11">
        <v>28650.271390000016</v>
      </c>
      <c r="AB68" s="11">
        <v>26203.419010000001</v>
      </c>
      <c r="AC68" s="12">
        <f>AA68-AB68</f>
        <v>2446.8523800000148</v>
      </c>
      <c r="AD68" s="12">
        <f>AC68/AB68*100</f>
        <v>9.3379126558493137</v>
      </c>
      <c r="AE68" s="12"/>
      <c r="AF68" s="11">
        <v>22461.175999999999</v>
      </c>
      <c r="AG68" s="11"/>
      <c r="AH68" s="11">
        <f>AF68-AG68</f>
        <v>22461.175999999999</v>
      </c>
      <c r="AI68" s="11"/>
      <c r="AJ68" s="12"/>
      <c r="AK68" s="12">
        <f t="shared" si="20"/>
        <v>146785.95179000002</v>
      </c>
      <c r="AL68" s="12">
        <f t="shared" si="20"/>
        <v>116332.18441</v>
      </c>
      <c r="AM68" s="12">
        <f>AK68-AL68</f>
        <v>30453.767380000019</v>
      </c>
      <c r="AN68" s="12">
        <f>AM68/AL68*100</f>
        <v>26.178282075980853</v>
      </c>
    </row>
    <row r="69" spans="1:41" s="15" customFormat="1" ht="15" customHeight="1" x14ac:dyDescent="0.25">
      <c r="A69" s="10" t="s">
        <v>60</v>
      </c>
      <c r="B69" s="11">
        <v>106.00227</v>
      </c>
      <c r="C69" s="11">
        <f>106002.27/1000</f>
        <v>106.00227000000001</v>
      </c>
      <c r="D69" s="12">
        <f>B69-C69</f>
        <v>0</v>
      </c>
      <c r="E69" s="12">
        <f>D69/C69*100</f>
        <v>0</v>
      </c>
      <c r="F69" s="12"/>
      <c r="G69" s="12"/>
      <c r="H69" s="12"/>
      <c r="I69" s="12"/>
      <c r="J69" s="12"/>
      <c r="K69" s="12"/>
      <c r="L69" s="12">
        <v>45.112000000000002</v>
      </c>
      <c r="M69" s="12">
        <v>45.112000000000002</v>
      </c>
      <c r="N69" s="12">
        <f>L69-M69</f>
        <v>0</v>
      </c>
      <c r="O69" s="12">
        <f>N69/M69*100</f>
        <v>0</v>
      </c>
      <c r="P69" s="12"/>
      <c r="Q69" s="12"/>
      <c r="R69" s="12"/>
      <c r="S69" s="12"/>
      <c r="T69" s="12"/>
      <c r="U69" s="12"/>
      <c r="V69" s="12"/>
      <c r="W69" s="12"/>
      <c r="X69" s="11"/>
      <c r="Y69" s="11"/>
      <c r="Z69" s="12"/>
      <c r="AA69" s="11">
        <v>163.55799999999999</v>
      </c>
      <c r="AB69" s="11">
        <v>162.95099999999999</v>
      </c>
      <c r="AC69" s="12">
        <f>AA69-AB69</f>
        <v>0.60699999999999932</v>
      </c>
      <c r="AD69" s="12">
        <f>AC69/AB69*100</f>
        <v>0.37250461795263567</v>
      </c>
      <c r="AE69" s="12"/>
      <c r="AF69" s="11">
        <v>31.277999999999999</v>
      </c>
      <c r="AG69" s="11"/>
      <c r="AH69" s="11">
        <f>AF69-AG69</f>
        <v>31.277999999999999</v>
      </c>
      <c r="AI69" s="11"/>
      <c r="AJ69" s="12"/>
      <c r="AK69" s="12">
        <f t="shared" si="20"/>
        <v>345.95027000000005</v>
      </c>
      <c r="AL69" s="12">
        <f t="shared" si="20"/>
        <v>314.06527</v>
      </c>
      <c r="AM69" s="12">
        <f>AK69-AL69</f>
        <v>31.885000000000048</v>
      </c>
      <c r="AN69" s="12">
        <f>AM69/AL69*100</f>
        <v>10.152348268243747</v>
      </c>
    </row>
    <row r="70" spans="1:41" s="35" customFormat="1" ht="15" customHeight="1" x14ac:dyDescent="0.25">
      <c r="A70" s="34" t="s">
        <v>61</v>
      </c>
      <c r="B70" s="37">
        <f>(B67-B68-B69)/B67*100</f>
        <v>24.139383202450247</v>
      </c>
      <c r="C70" s="37">
        <f>(C67-C68-C69)/C67*100</f>
        <v>21.9538136225237</v>
      </c>
      <c r="D70" s="13"/>
      <c r="E70" s="13">
        <f>B70-C70</f>
        <v>2.1855695799265469</v>
      </c>
      <c r="F70" s="13"/>
      <c r="G70" s="37"/>
      <c r="H70" s="37"/>
      <c r="I70" s="13"/>
      <c r="J70" s="13"/>
      <c r="K70" s="13"/>
      <c r="L70" s="37">
        <f>(L67-L68-L69)/L67*100</f>
        <v>29.351757897024587</v>
      </c>
      <c r="M70" s="37">
        <f>(M67-M68-M69)/M67*100</f>
        <v>41.785883754017092</v>
      </c>
      <c r="N70" s="13"/>
      <c r="O70" s="13">
        <f>L70-M70</f>
        <v>-12.434125856992505</v>
      </c>
      <c r="P70" s="13"/>
      <c r="Q70" s="37"/>
      <c r="R70" s="37"/>
      <c r="S70" s="13"/>
      <c r="T70" s="13"/>
      <c r="U70" s="13"/>
      <c r="V70" s="37"/>
      <c r="W70" s="37"/>
      <c r="X70" s="14"/>
      <c r="Y70" s="14"/>
      <c r="Z70" s="13"/>
      <c r="AA70" s="37">
        <f>(AA67-AA68-AA69)/AA67*100</f>
        <v>8.0389468887463948</v>
      </c>
      <c r="AB70" s="37">
        <f>(AB67-AB68-AB69)/AB67*100</f>
        <v>10.322398086777703</v>
      </c>
      <c r="AC70" s="13"/>
      <c r="AD70" s="13">
        <f>AA70-AB70</f>
        <v>-2.2834511980313081</v>
      </c>
      <c r="AE70" s="13"/>
      <c r="AF70" s="37">
        <f>(AF67-AF68-AF69)/AF67*100</f>
        <v>13.890121245399772</v>
      </c>
      <c r="AG70" s="37"/>
      <c r="AH70" s="14"/>
      <c r="AI70" s="14">
        <f>AF70-AG70</f>
        <v>13.890121245399772</v>
      </c>
      <c r="AJ70" s="13"/>
      <c r="AK70" s="13">
        <f>SUM(AK67-AK68-AK69)/AK67*100</f>
        <v>22.842801670748333</v>
      </c>
      <c r="AL70" s="13">
        <f>SUM(AL67-AL68-AL69)/AL67*100</f>
        <v>32.851081593911466</v>
      </c>
      <c r="AM70" s="14"/>
      <c r="AN70" s="13">
        <f>AK70-AL70</f>
        <v>-10.008279923163133</v>
      </c>
    </row>
    <row r="71" spans="1:41" s="35" customFormat="1" ht="15" customHeight="1" x14ac:dyDescent="0.25">
      <c r="A71" s="34" t="s">
        <v>62</v>
      </c>
      <c r="B71" s="14">
        <f>B15/(B68+B69)</f>
        <v>11.022751279435496</v>
      </c>
      <c r="C71" s="14">
        <f>C15/(C68+C69)</f>
        <v>9.8493246469277302</v>
      </c>
      <c r="D71" s="13">
        <f>B71-C71</f>
        <v>1.1734266325077662</v>
      </c>
      <c r="E71" s="12">
        <f>D71/C71*100</f>
        <v>11.913777589550667</v>
      </c>
      <c r="F71" s="13"/>
      <c r="G71" s="13"/>
      <c r="H71" s="13"/>
      <c r="I71" s="13"/>
      <c r="J71" s="13"/>
      <c r="K71" s="13"/>
      <c r="L71" s="13">
        <f>L15/(L68+L69)</f>
        <v>5.7839956136663346</v>
      </c>
      <c r="M71" s="13">
        <f>M15/(M68+M69)</f>
        <v>6.7078785317612288</v>
      </c>
      <c r="N71" s="13">
        <f>L71-M71</f>
        <v>-0.9238829180948942</v>
      </c>
      <c r="O71" s="12">
        <f>N71/M71*100</f>
        <v>-13.773101491334225</v>
      </c>
      <c r="P71" s="13"/>
      <c r="Q71" s="13"/>
      <c r="R71" s="13"/>
      <c r="S71" s="13"/>
      <c r="T71" s="13"/>
      <c r="U71" s="13"/>
      <c r="V71" s="13"/>
      <c r="W71" s="13"/>
      <c r="X71" s="14"/>
      <c r="Y71" s="11"/>
      <c r="Z71" s="13"/>
      <c r="AA71" s="37">
        <f>AA15/(AA68+AA69)</f>
        <v>10.049689368275942</v>
      </c>
      <c r="AB71" s="37">
        <f>AB15/(AB68+AB69)</f>
        <v>9.389627687319253</v>
      </c>
      <c r="AC71" s="13">
        <f>AA71-AB71</f>
        <v>0.66006168095668905</v>
      </c>
      <c r="AD71" s="12">
        <f>AC71/AB71*100</f>
        <v>7.0296895993874839</v>
      </c>
      <c r="AE71" s="13"/>
      <c r="AF71" s="37">
        <f>AF15/(AF68+AF69)</f>
        <v>11.205622571907893</v>
      </c>
      <c r="AG71" s="14"/>
      <c r="AH71" s="14">
        <f>AF71-AG71</f>
        <v>11.205622571907893</v>
      </c>
      <c r="AI71" s="14"/>
      <c r="AJ71" s="13"/>
      <c r="AK71" s="13">
        <f>AK15/(AK68+AK69)</f>
        <v>8.5278796253740197</v>
      </c>
      <c r="AL71" s="13">
        <f>AL15/(AL68+AL69)</f>
        <v>9.7961409665957113</v>
      </c>
      <c r="AM71" s="13">
        <f>AK71-AL71</f>
        <v>-1.2682613412216917</v>
      </c>
      <c r="AN71" s="12">
        <f>AM71/AL71*100</f>
        <v>-12.946540332018408</v>
      </c>
    </row>
    <row r="72" spans="1:41" s="35" customFormat="1" ht="15" customHeight="1" x14ac:dyDescent="0.25">
      <c r="A72" s="34" t="s">
        <v>63</v>
      </c>
      <c r="B72" s="14">
        <f>B24/B67</f>
        <v>6.1766488020393142</v>
      </c>
      <c r="C72" s="14">
        <f>C24/C67</f>
        <v>5.2670446247665561</v>
      </c>
      <c r="D72" s="13">
        <f>B72-C72</f>
        <v>0.90960417727275811</v>
      </c>
      <c r="E72" s="12">
        <f>D72/C72*100</f>
        <v>17.269726043247132</v>
      </c>
      <c r="F72" s="13"/>
      <c r="G72" s="13"/>
      <c r="H72" s="13"/>
      <c r="I72" s="13"/>
      <c r="J72" s="13"/>
      <c r="K72" s="13"/>
      <c r="L72" s="13">
        <f>L24/L67</f>
        <v>3.6118771986819707</v>
      </c>
      <c r="M72" s="13">
        <f>M24/M67</f>
        <v>2.9469107816364901</v>
      </c>
      <c r="N72" s="13">
        <f>L72-M72</f>
        <v>0.66496641704548054</v>
      </c>
      <c r="O72" s="12">
        <f>N72/M72*100</f>
        <v>22.564864236446574</v>
      </c>
      <c r="P72" s="13"/>
      <c r="Q72" s="13"/>
      <c r="R72" s="13"/>
      <c r="S72" s="13"/>
      <c r="T72" s="13"/>
      <c r="U72" s="13"/>
      <c r="V72" s="13"/>
      <c r="W72" s="13"/>
      <c r="X72" s="14"/>
      <c r="Y72" s="11"/>
      <c r="Z72" s="13"/>
      <c r="AA72" s="37">
        <f>AA24/AA67</f>
        <v>6.9851909637756702</v>
      </c>
      <c r="AB72" s="37">
        <f>AB24/AB67</f>
        <v>5.4813970119268234</v>
      </c>
      <c r="AC72" s="13">
        <f>AA72-AB72</f>
        <v>1.5037939518488468</v>
      </c>
      <c r="AD72" s="12">
        <f>AC72/AB72*100</f>
        <v>27.434501616591213</v>
      </c>
      <c r="AE72" s="13"/>
      <c r="AF72" s="37">
        <f>AF24/AF67</f>
        <v>6.0965166983802925</v>
      </c>
      <c r="AG72" s="14"/>
      <c r="AH72" s="14">
        <f>AF72-AG72</f>
        <v>6.0965166983802925</v>
      </c>
      <c r="AI72" s="11"/>
      <c r="AJ72" s="13"/>
      <c r="AK72" s="13">
        <f>AK24/AK67</f>
        <v>5.0415476185284671</v>
      </c>
      <c r="AL72" s="13">
        <f>AL24/AL67</f>
        <v>4.657004884175036</v>
      </c>
      <c r="AM72" s="13">
        <f>AK72-AL72</f>
        <v>0.38454273435343111</v>
      </c>
      <c r="AN72" s="12">
        <f>AM72/AL72*100</f>
        <v>8.2572972096324282</v>
      </c>
    </row>
    <row r="73" spans="1:41" s="35" customFormat="1" ht="15" hidden="1" customHeight="1" x14ac:dyDescent="0.25">
      <c r="A73" s="34" t="s">
        <v>64</v>
      </c>
      <c r="B73" s="27"/>
      <c r="C73" s="27"/>
      <c r="D73" s="13"/>
      <c r="E73" s="12"/>
      <c r="F73" s="13"/>
      <c r="G73" s="38"/>
      <c r="H73" s="38"/>
      <c r="I73" s="13"/>
      <c r="J73" s="13"/>
      <c r="K73" s="13"/>
      <c r="L73" s="13"/>
      <c r="M73" s="13"/>
      <c r="N73" s="13"/>
      <c r="O73" s="12"/>
      <c r="P73" s="13"/>
      <c r="Q73" s="13"/>
      <c r="R73" s="13"/>
      <c r="S73" s="13"/>
      <c r="T73" s="13"/>
      <c r="U73" s="13"/>
      <c r="V73" s="13"/>
      <c r="W73" s="13"/>
      <c r="X73" s="14"/>
      <c r="Y73" s="11"/>
      <c r="Z73" s="13"/>
      <c r="AA73" s="27"/>
      <c r="AB73" s="27"/>
      <c r="AC73" s="13"/>
      <c r="AD73" s="12">
        <f>AA73-AB73</f>
        <v>0</v>
      </c>
      <c r="AE73" s="13"/>
      <c r="AF73" s="14"/>
      <c r="AG73" s="14"/>
      <c r="AH73" s="14"/>
      <c r="AI73" s="11"/>
      <c r="AJ73" s="13"/>
      <c r="AK73" s="13"/>
      <c r="AL73" s="39" t="str">
        <f>[6]ARMM!$AH$97</f>
        <v>620</v>
      </c>
      <c r="AM73" s="13"/>
      <c r="AN73" s="12"/>
    </row>
    <row r="74" spans="1:41" s="35" customFormat="1" ht="15" customHeight="1" x14ac:dyDescent="0.25">
      <c r="A74" s="34" t="s">
        <v>77</v>
      </c>
      <c r="B74" s="27">
        <v>65.38</v>
      </c>
      <c r="C74" s="27">
        <f>'[7]2 COLL EFF YELLOW ECs'!$D$125</f>
        <v>66.395985637504253</v>
      </c>
      <c r="D74" s="13"/>
      <c r="E74" s="13">
        <f>B74-C74</f>
        <v>-1.015985637504258</v>
      </c>
      <c r="F74" s="13"/>
      <c r="G74" s="38"/>
      <c r="H74" s="38"/>
      <c r="I74" s="13"/>
      <c r="J74" s="13"/>
      <c r="K74" s="13"/>
      <c r="L74" s="13"/>
      <c r="M74" s="13"/>
      <c r="N74" s="13"/>
      <c r="O74" s="13">
        <f>L74-M74</f>
        <v>0</v>
      </c>
      <c r="P74" s="13"/>
      <c r="Q74" s="13"/>
      <c r="R74" s="13"/>
      <c r="S74" s="13"/>
      <c r="T74" s="13"/>
      <c r="U74" s="13"/>
      <c r="V74" s="13"/>
      <c r="W74" s="13"/>
      <c r="X74" s="27"/>
      <c r="Y74" s="27"/>
      <c r="Z74" s="13"/>
      <c r="AA74" s="27">
        <v>42.04</v>
      </c>
      <c r="AB74" s="27">
        <v>40.964998864887981</v>
      </c>
      <c r="AC74" s="13"/>
      <c r="AD74" s="13">
        <f>AA74-AB74</f>
        <v>1.0750011351120179</v>
      </c>
      <c r="AE74" s="13"/>
      <c r="AF74" s="14">
        <v>36.42</v>
      </c>
      <c r="AG74" s="14">
        <v>35.380000000000003</v>
      </c>
      <c r="AH74" s="14"/>
      <c r="AI74" s="14">
        <f>AF74-AG74</f>
        <v>1.0399999999999991</v>
      </c>
      <c r="AJ74" s="13"/>
      <c r="AK74" s="13">
        <f>+(B74+G74+L74+Q74+V74+AA74+AF74)/3</f>
        <v>47.946666666666658</v>
      </c>
      <c r="AL74" s="13">
        <f>+(C74+H74+M74+R74+W74+AB74+AG74)/3</f>
        <v>47.580328167464074</v>
      </c>
      <c r="AM74" s="13"/>
      <c r="AN74" s="13">
        <f>AK74-AL74</f>
        <v>0.36633849920258399</v>
      </c>
    </row>
    <row r="75" spans="1:41" s="15" customFormat="1" ht="15" customHeight="1" x14ac:dyDescent="0.25">
      <c r="A75" s="28" t="s">
        <v>65</v>
      </c>
      <c r="B75" s="11">
        <v>41667</v>
      </c>
      <c r="C75" s="11">
        <v>41667</v>
      </c>
      <c r="D75" s="12">
        <f>B75-C75</f>
        <v>0</v>
      </c>
      <c r="E75" s="12">
        <f>D75/C75*100</f>
        <v>0</v>
      </c>
      <c r="F75" s="12"/>
      <c r="G75" s="12"/>
      <c r="H75" s="12"/>
      <c r="I75" s="12"/>
      <c r="J75" s="12"/>
      <c r="K75" s="12"/>
      <c r="L75" s="12">
        <v>90683</v>
      </c>
      <c r="M75" s="12">
        <v>90683</v>
      </c>
      <c r="N75" s="12">
        <f>L75-M75</f>
        <v>0</v>
      </c>
      <c r="O75" s="12">
        <f>N75/M75*100</f>
        <v>0</v>
      </c>
      <c r="P75" s="12"/>
      <c r="Q75" s="12"/>
      <c r="R75" s="12"/>
      <c r="S75" s="12"/>
      <c r="T75" s="12"/>
      <c r="U75" s="12"/>
      <c r="V75" s="12"/>
      <c r="W75" s="12"/>
      <c r="X75" s="11"/>
      <c r="Y75" s="11"/>
      <c r="Z75" s="12"/>
      <c r="AA75" s="12">
        <v>19096</v>
      </c>
      <c r="AB75" s="12">
        <v>17500</v>
      </c>
      <c r="AC75" s="12">
        <f>AA75-AB75</f>
        <v>1596</v>
      </c>
      <c r="AD75" s="12">
        <f>AC75/AB75*100</f>
        <v>9.120000000000001</v>
      </c>
      <c r="AE75" s="12"/>
      <c r="AF75" s="11">
        <v>13936</v>
      </c>
      <c r="AG75" s="11"/>
      <c r="AH75" s="11">
        <f>AF75-AG75</f>
        <v>13936</v>
      </c>
      <c r="AI75" s="11"/>
      <c r="AJ75" s="12"/>
      <c r="AK75" s="12">
        <f>+B75+G75+V75+AA75+AF75+Q75+L75</f>
        <v>165382</v>
      </c>
      <c r="AL75" s="12">
        <f>+C75+H75+W75+AB75+AG75+R75+M75</f>
        <v>149850</v>
      </c>
      <c r="AM75" s="12">
        <f>AK75-AL75</f>
        <v>15532</v>
      </c>
      <c r="AN75" s="12">
        <f>AM75/AL75*100</f>
        <v>10.365031698365032</v>
      </c>
    </row>
    <row r="76" spans="1:41" s="15" customFormat="1" ht="15" customHeight="1" x14ac:dyDescent="0.25">
      <c r="A76" s="10" t="s">
        <v>66</v>
      </c>
      <c r="B76" s="11">
        <v>159</v>
      </c>
      <c r="C76" s="11">
        <v>159</v>
      </c>
      <c r="D76" s="12">
        <f>B76-C76</f>
        <v>0</v>
      </c>
      <c r="E76" s="12">
        <f>D76/C76*100</f>
        <v>0</v>
      </c>
      <c r="F76" s="12"/>
      <c r="G76" s="12"/>
      <c r="H76" s="12"/>
      <c r="I76" s="12"/>
      <c r="J76" s="12"/>
      <c r="K76" s="12"/>
      <c r="L76" s="12">
        <v>230</v>
      </c>
      <c r="M76" s="12">
        <v>230</v>
      </c>
      <c r="N76" s="12">
        <f>L76-M76</f>
        <v>0</v>
      </c>
      <c r="O76" s="12">
        <f>N76/M76*100</f>
        <v>0</v>
      </c>
      <c r="P76" s="12"/>
      <c r="Q76" s="12"/>
      <c r="R76" s="12"/>
      <c r="S76" s="12"/>
      <c r="T76" s="12"/>
      <c r="U76" s="12"/>
      <c r="V76" s="12"/>
      <c r="W76" s="12"/>
      <c r="X76" s="11"/>
      <c r="Y76" s="11"/>
      <c r="Z76" s="12"/>
      <c r="AA76" s="12">
        <v>62</v>
      </c>
      <c r="AB76" s="12">
        <v>76</v>
      </c>
      <c r="AC76" s="12">
        <f>AA76-AB76</f>
        <v>-14</v>
      </c>
      <c r="AD76" s="12">
        <f>AC76/AB76*100</f>
        <v>-18.421052631578945</v>
      </c>
      <c r="AE76" s="12"/>
      <c r="AF76" s="11">
        <v>39</v>
      </c>
      <c r="AG76" s="11"/>
      <c r="AH76" s="11">
        <f>AF76-AG76</f>
        <v>39</v>
      </c>
      <c r="AI76" s="11"/>
      <c r="AJ76" s="12"/>
      <c r="AK76" s="12">
        <f>+B76+G76+V76+AA76+AF76</f>
        <v>260</v>
      </c>
      <c r="AL76" s="12">
        <f>+C76+H76+AB76+AG76</f>
        <v>235</v>
      </c>
      <c r="AM76" s="12">
        <f>AK76-AL76</f>
        <v>25</v>
      </c>
      <c r="AN76" s="12">
        <f>AM76/AL76*100</f>
        <v>10.638297872340425</v>
      </c>
    </row>
    <row r="77" spans="1:41" s="15" customFormat="1" ht="15" customHeight="1" x14ac:dyDescent="0.25">
      <c r="A77" s="10" t="s">
        <v>67</v>
      </c>
      <c r="B77" s="11">
        <f>B75/B76</f>
        <v>262.05660377358492</v>
      </c>
      <c r="C77" s="11">
        <f>C75/C76</f>
        <v>262.05660377358492</v>
      </c>
      <c r="D77" s="12">
        <f>B77-C77</f>
        <v>0</v>
      </c>
      <c r="E77" s="12">
        <f>D77/C77*100</f>
        <v>0</v>
      </c>
      <c r="F77" s="12"/>
      <c r="G77" s="12"/>
      <c r="H77" s="12"/>
      <c r="I77" s="12"/>
      <c r="J77" s="12"/>
      <c r="K77" s="12"/>
      <c r="L77" s="12">
        <f>L75/L76</f>
        <v>394.27391304347827</v>
      </c>
      <c r="M77" s="12">
        <f>M75/M76</f>
        <v>394.27391304347827</v>
      </c>
      <c r="N77" s="12">
        <f>L77-M77</f>
        <v>0</v>
      </c>
      <c r="O77" s="12">
        <f>N77/M77*100</f>
        <v>0</v>
      </c>
      <c r="P77" s="12"/>
      <c r="Q77" s="12"/>
      <c r="R77" s="12"/>
      <c r="S77" s="12"/>
      <c r="T77" s="12"/>
      <c r="U77" s="12"/>
      <c r="V77" s="12"/>
      <c r="W77" s="12"/>
      <c r="X77" s="11"/>
      <c r="Y77" s="11"/>
      <c r="Z77" s="12"/>
      <c r="AA77" s="29">
        <f>AA75/AA76</f>
        <v>308</v>
      </c>
      <c r="AB77" s="12">
        <v>230.26315789473685</v>
      </c>
      <c r="AC77" s="12">
        <f>AA77-AB77</f>
        <v>77.73684210526315</v>
      </c>
      <c r="AD77" s="12">
        <f>AC77/AB77*100</f>
        <v>33.76</v>
      </c>
      <c r="AE77" s="12"/>
      <c r="AF77" s="29">
        <f>AF75/AF76</f>
        <v>357.33333333333331</v>
      </c>
      <c r="AG77" s="11"/>
      <c r="AH77" s="11">
        <f>AF77-AG77</f>
        <v>357.33333333333331</v>
      </c>
      <c r="AI77" s="11"/>
      <c r="AJ77" s="12"/>
      <c r="AK77" s="12">
        <f>AK75/AK76</f>
        <v>636.0846153846154</v>
      </c>
      <c r="AL77" s="12">
        <f>AL75/AL76</f>
        <v>637.65957446808511</v>
      </c>
      <c r="AM77" s="12">
        <f>AK77-AL77</f>
        <v>-1.5749590834697074</v>
      </c>
      <c r="AN77" s="12">
        <f>AM77/AL77*100</f>
        <v>-0.24699058032391139</v>
      </c>
    </row>
    <row r="78" spans="1:41" s="15" customFormat="1" ht="15" customHeight="1" x14ac:dyDescent="0.25">
      <c r="A78" s="10" t="s">
        <v>68</v>
      </c>
      <c r="B78" s="11">
        <f>(1000*B26)/B75</f>
        <v>1795.4485410516716</v>
      </c>
      <c r="C78" s="11">
        <f>(1000*C26)/C75</f>
        <v>1571.1205728754167</v>
      </c>
      <c r="D78" s="12">
        <f>B78-C78</f>
        <v>224.3279681762549</v>
      </c>
      <c r="E78" s="12">
        <f>D78/C78*100</f>
        <v>14.278214673600559</v>
      </c>
      <c r="F78" s="12"/>
      <c r="G78" s="12"/>
      <c r="H78" s="12"/>
      <c r="I78" s="12"/>
      <c r="J78" s="12"/>
      <c r="K78" s="12"/>
      <c r="L78" s="12">
        <f>(1000*L26)/L75</f>
        <v>867.32702546232485</v>
      </c>
      <c r="M78" s="12">
        <f>(1000*M26)/M75</f>
        <v>829.57628375770526</v>
      </c>
      <c r="N78" s="12">
        <f>L78-M78</f>
        <v>37.7507417046196</v>
      </c>
      <c r="O78" s="12">
        <f>N78/M78*100</f>
        <v>4.5506052238645571</v>
      </c>
      <c r="P78" s="12"/>
      <c r="Q78" s="12"/>
      <c r="R78" s="12"/>
      <c r="S78" s="12"/>
      <c r="T78" s="12"/>
      <c r="U78" s="12"/>
      <c r="V78" s="12"/>
      <c r="W78" s="12"/>
      <c r="X78" s="11"/>
      <c r="Y78" s="11"/>
      <c r="Z78" s="12"/>
      <c r="AA78" s="29">
        <f>(1000*AA26)/AA75</f>
        <v>1269.8736169878509</v>
      </c>
      <c r="AB78" s="12">
        <v>1585.3289211428571</v>
      </c>
      <c r="AC78" s="12">
        <f>AA78-AB78</f>
        <v>-315.45530415500616</v>
      </c>
      <c r="AD78" s="12">
        <f>AC78/AB78*100</f>
        <v>-19.898413505734553</v>
      </c>
      <c r="AE78" s="12"/>
      <c r="AF78" s="29">
        <f>(1000*AF26)/AF75</f>
        <v>1340.8577662169923</v>
      </c>
      <c r="AG78" s="11"/>
      <c r="AH78" s="11">
        <f>AF78-AG78</f>
        <v>1340.8577662169923</v>
      </c>
      <c r="AI78" s="11"/>
      <c r="AJ78" s="12"/>
      <c r="AK78" s="12">
        <f>(1000*AK26)/AK75</f>
        <v>1224.1967696605436</v>
      </c>
      <c r="AL78" s="12">
        <f>(1000*AL26)/AL75</f>
        <v>1294.2790525859191</v>
      </c>
      <c r="AM78" s="12">
        <f>AK78-AL78</f>
        <v>-70.082282925375466</v>
      </c>
      <c r="AN78" s="12">
        <f>AM78/AL78*100</f>
        <v>-5.4147737912742846</v>
      </c>
    </row>
    <row r="79" spans="1:41" s="15" customFormat="1" x14ac:dyDescent="0.25">
      <c r="A79" s="15" t="s">
        <v>69</v>
      </c>
      <c r="B79" s="11">
        <v>12930</v>
      </c>
      <c r="C79" s="11">
        <v>12930</v>
      </c>
      <c r="D79" s="12">
        <f>B79-C79</f>
        <v>0</v>
      </c>
      <c r="E79" s="12">
        <f>D79/C79*100</f>
        <v>0</v>
      </c>
      <c r="F79" s="12"/>
      <c r="G79" s="12"/>
      <c r="H79" s="12"/>
      <c r="I79" s="12"/>
      <c r="J79" s="12"/>
      <c r="K79" s="12"/>
      <c r="L79" s="12">
        <v>33780</v>
      </c>
      <c r="M79" s="12">
        <v>42610</v>
      </c>
      <c r="N79" s="12">
        <f>L79-M79</f>
        <v>-8830</v>
      </c>
      <c r="O79" s="12">
        <f>N79/M79*100</f>
        <v>-20.722835015254635</v>
      </c>
      <c r="P79" s="12"/>
      <c r="Q79" s="12"/>
      <c r="R79" s="12"/>
      <c r="S79" s="12"/>
      <c r="T79" s="12"/>
      <c r="U79" s="12"/>
      <c r="V79" s="12"/>
      <c r="W79" s="12"/>
      <c r="X79" s="11"/>
      <c r="Y79" s="11"/>
      <c r="Z79" s="12"/>
      <c r="AA79" s="12">
        <v>10430</v>
      </c>
      <c r="AB79" s="12">
        <v>9410</v>
      </c>
      <c r="AC79" s="12">
        <f>AA79-AB79</f>
        <v>1020</v>
      </c>
      <c r="AD79" s="12">
        <f>AC79/AB79*100</f>
        <v>10.839532412327312</v>
      </c>
      <c r="AE79" s="12"/>
      <c r="AF79" s="11">
        <v>8826</v>
      </c>
      <c r="AG79" s="11"/>
      <c r="AH79" s="11">
        <f>AF79-AG79</f>
        <v>8826</v>
      </c>
      <c r="AI79" s="11"/>
      <c r="AJ79" s="12"/>
      <c r="AK79" s="11">
        <f>+Q79+V79+AA79+AF79+B79+L79+G79</f>
        <v>65966</v>
      </c>
      <c r="AL79" s="11">
        <f>+R79+W79+AB79+AG79+C79+M79+H79</f>
        <v>64950</v>
      </c>
      <c r="AM79" s="12">
        <f>AK79-AL79</f>
        <v>1016</v>
      </c>
      <c r="AN79" s="12">
        <f>AM79/AL79*100</f>
        <v>1.5642802155504236</v>
      </c>
    </row>
    <row r="80" spans="1:41" x14ac:dyDescent="0.25">
      <c r="A80" s="3" t="s">
        <v>70</v>
      </c>
      <c r="B80" s="40" t="s">
        <v>71</v>
      </c>
      <c r="C80" s="40"/>
      <c r="D80" s="40"/>
      <c r="E80" s="40"/>
      <c r="F80" s="26"/>
      <c r="G80" s="40"/>
      <c r="H80" s="40"/>
      <c r="I80" s="40"/>
      <c r="J80" s="40"/>
      <c r="K80" s="18"/>
      <c r="L80" s="40" t="s">
        <v>73</v>
      </c>
      <c r="M80" s="40"/>
      <c r="N80" s="40"/>
      <c r="O80" s="40"/>
      <c r="P80" s="18"/>
      <c r="Q80" s="40"/>
      <c r="R80" s="40"/>
      <c r="S80" s="40"/>
      <c r="T80" s="40"/>
      <c r="U80" s="18"/>
      <c r="V80" s="40" t="s">
        <v>72</v>
      </c>
      <c r="W80" s="40"/>
      <c r="X80" s="40"/>
      <c r="Y80" s="40"/>
      <c r="Z80" s="18"/>
      <c r="AA80" s="40" t="s">
        <v>74</v>
      </c>
      <c r="AB80" s="40"/>
      <c r="AC80" s="40"/>
      <c r="AD80" s="40"/>
      <c r="AE80" s="18"/>
      <c r="AF80" s="40" t="s">
        <v>75</v>
      </c>
      <c r="AG80" s="40"/>
      <c r="AH80" s="40"/>
      <c r="AI80" s="40"/>
      <c r="AJ80" s="18"/>
      <c r="AK80" s="18"/>
      <c r="AL80" s="18"/>
      <c r="AM80" s="18"/>
      <c r="AN80" s="18"/>
    </row>
    <row r="81" spans="1:30" ht="15" customHeight="1" x14ac:dyDescent="0.25">
      <c r="AA81" s="9"/>
      <c r="AB81" s="9"/>
      <c r="AC81" s="9"/>
      <c r="AD81" s="9"/>
    </row>
    <row r="82" spans="1:30" ht="15" customHeight="1" x14ac:dyDescent="0.25">
      <c r="AA82" s="9"/>
      <c r="AB82" s="9"/>
      <c r="AC82" s="9"/>
      <c r="AD82" s="9"/>
    </row>
    <row r="83" spans="1:30" ht="15" customHeight="1" x14ac:dyDescent="0.25">
      <c r="A83" s="45" t="s">
        <v>76</v>
      </c>
      <c r="AA83" s="9"/>
      <c r="AB83" s="9"/>
      <c r="AC83" s="9"/>
      <c r="AD83" s="9"/>
    </row>
    <row r="84" spans="1:30" ht="15" customHeight="1" x14ac:dyDescent="0.25">
      <c r="AA84" s="9"/>
      <c r="AB84" s="9"/>
      <c r="AC84" s="9"/>
      <c r="AD84" s="9"/>
    </row>
    <row r="85" spans="1:30" ht="15" customHeight="1" x14ac:dyDescent="0.25"/>
    <row r="86" spans="1:30" ht="15" customHeight="1" x14ac:dyDescent="0.25"/>
    <row r="87" spans="1:30" ht="15" customHeight="1" x14ac:dyDescent="0.25"/>
    <row r="88" spans="1:30" ht="15" customHeight="1" x14ac:dyDescent="0.25"/>
    <row r="89" spans="1:30" ht="15" customHeight="1" x14ac:dyDescent="0.25"/>
    <row r="90" spans="1:30" ht="15" customHeight="1" x14ac:dyDescent="0.25"/>
    <row r="91" spans="1:30" ht="15" customHeight="1" x14ac:dyDescent="0.25"/>
    <row r="92" spans="1:30" ht="15" customHeight="1" x14ac:dyDescent="0.25"/>
    <row r="93" spans="1:30" ht="15" customHeight="1" x14ac:dyDescent="0.25"/>
    <row r="94" spans="1:30" ht="15" customHeight="1" x14ac:dyDescent="0.25"/>
    <row r="95" spans="1:30" ht="15" customHeight="1" x14ac:dyDescent="0.25"/>
    <row r="96" spans="1:30" ht="15" customHeight="1" x14ac:dyDescent="0.25"/>
    <row r="97" spans="7:18" ht="15" customHeight="1" x14ac:dyDescent="0.25"/>
    <row r="98" spans="7:18" ht="15" customHeight="1" x14ac:dyDescent="0.25"/>
    <row r="99" spans="7:18" ht="15" customHeight="1" x14ac:dyDescent="0.25"/>
    <row r="100" spans="7:18" ht="15" customHeight="1" x14ac:dyDescent="0.25"/>
    <row r="101" spans="7:18" ht="15" customHeight="1" x14ac:dyDescent="0.25"/>
    <row r="102" spans="7:18" ht="15" customHeight="1" x14ac:dyDescent="0.25"/>
    <row r="104" spans="7:18" x14ac:dyDescent="0.25">
      <c r="Q104" s="17"/>
      <c r="R104" s="17"/>
    </row>
    <row r="105" spans="7:18" x14ac:dyDescent="0.25">
      <c r="G105" s="30"/>
      <c r="H105" s="30"/>
    </row>
  </sheetData>
  <sheetProtection formatCells="0" formatColumns="0" formatRows="0" insertColumns="0" insertRows="0" insertHyperlinks="0" deleteColumns="0" deleteRows="0" sort="0" autoFilter="0" pivotTables="0"/>
  <mergeCells count="29">
    <mergeCell ref="AA5:AD5"/>
    <mergeCell ref="B5:E5"/>
    <mergeCell ref="G5:J5"/>
    <mergeCell ref="L5:O5"/>
    <mergeCell ref="Q5:T5"/>
    <mergeCell ref="V5:Y5"/>
    <mergeCell ref="AF6:AI6"/>
    <mergeCell ref="AK6:AN6"/>
    <mergeCell ref="D8:E8"/>
    <mergeCell ref="I8:J8"/>
    <mergeCell ref="N8:O8"/>
    <mergeCell ref="S8:T8"/>
    <mergeCell ref="X8:Y8"/>
    <mergeCell ref="AC8:AD8"/>
    <mergeCell ref="AH8:AI8"/>
    <mergeCell ref="AM8:AN8"/>
    <mergeCell ref="B6:E6"/>
    <mergeCell ref="G6:J6"/>
    <mergeCell ref="L6:O6"/>
    <mergeCell ref="Q6:T6"/>
    <mergeCell ref="V6:Y6"/>
    <mergeCell ref="AA6:AD6"/>
    <mergeCell ref="AF80:AI80"/>
    <mergeCell ref="B80:E80"/>
    <mergeCell ref="G80:J80"/>
    <mergeCell ref="L80:O80"/>
    <mergeCell ref="Q80:T80"/>
    <mergeCell ref="V80:Y80"/>
    <mergeCell ref="AA80:AD80"/>
  </mergeCells>
  <pageMargins left="0.75" right="0" top="0.35" bottom="0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ARMM</vt:lpstr>
      <vt:lpstr>ARMM!Print_Area</vt:lpstr>
      <vt:lpstr>ARMM!Print_Titles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2024-03-01T08:09:21Z</dcterms:created>
  <dcterms:modified xsi:type="dcterms:W3CDTF">2024-03-08T07:08:11Z</dcterms:modified>
</cp:coreProperties>
</file>