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ARM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>#REF!</definedName>
    <definedName name="\M">#REF!</definedName>
    <definedName name="angie">#REF!</definedName>
    <definedName name="date">#REF!</definedName>
    <definedName name="netmargin1">'[15]Debt Service Ratio revised'!$B$9:$D$143</definedName>
    <definedName name="PAGE1">#REF!</definedName>
    <definedName name="PAGE2">#REF!</definedName>
    <definedName name="PAGE3">#REF!</definedName>
    <definedName name="_xlnm.Print_Area" localSheetId="0">ARMM!$AF:$AN</definedName>
    <definedName name="_xlnm.Print_Titles" localSheetId="0">ARMM!$A:$A,ARMM!$1:$4</definedName>
    <definedName name="Print_Titles_MI">#REF!</definedName>
    <definedName name="sched">'[16]Acid Test'!$A$104:$G$142</definedName>
    <definedName name="sl">[15]main!$A$2:$L$165</definedName>
    <definedName name="systemlossmar14">[17]main!$A$2:$K$165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1" i="1" l="1"/>
  <c r="G91" i="1"/>
  <c r="AF90" i="1"/>
  <c r="AA90" i="1"/>
  <c r="V90" i="1"/>
  <c r="Q90" i="1"/>
  <c r="L90" i="1"/>
  <c r="G90" i="1"/>
  <c r="B90" i="1"/>
  <c r="C87" i="1"/>
  <c r="AF69" i="1" s="1"/>
  <c r="B87" i="1"/>
  <c r="A87" i="1"/>
  <c r="B86" i="1"/>
  <c r="C86" i="1" s="1"/>
  <c r="AA69" i="1" s="1"/>
  <c r="A86" i="1"/>
  <c r="B85" i="1"/>
  <c r="C85" i="1" s="1"/>
  <c r="V69" i="1" s="1"/>
  <c r="X69" i="1" s="1"/>
  <c r="Y69" i="1" s="1"/>
  <c r="A85" i="1"/>
  <c r="B84" i="1"/>
  <c r="C84" i="1" s="1"/>
  <c r="Q69" i="1" s="1"/>
  <c r="T69" i="1" s="1"/>
  <c r="A84" i="1"/>
  <c r="C83" i="1"/>
  <c r="L69" i="1" s="1"/>
  <c r="B83" i="1"/>
  <c r="A83" i="1"/>
  <c r="B82" i="1"/>
  <c r="C82" i="1" s="1"/>
  <c r="A82" i="1"/>
  <c r="B81" i="1"/>
  <c r="C81" i="1" s="1"/>
  <c r="B69" i="1" s="1"/>
  <c r="E69" i="1" s="1"/>
  <c r="A81" i="1"/>
  <c r="G78" i="1"/>
  <c r="AF77" i="1"/>
  <c r="AA77" i="1"/>
  <c r="V77" i="1"/>
  <c r="Q77" i="1"/>
  <c r="L77" i="1"/>
  <c r="L78" i="1" s="1"/>
  <c r="G77" i="1"/>
  <c r="B77" i="1"/>
  <c r="AK74" i="1"/>
  <c r="AH74" i="1"/>
  <c r="AI74" i="1" s="1"/>
  <c r="AG74" i="1"/>
  <c r="AB74" i="1"/>
  <c r="X74" i="1"/>
  <c r="Y74" i="1" s="1"/>
  <c r="S74" i="1"/>
  <c r="T74" i="1" s="1"/>
  <c r="N74" i="1"/>
  <c r="O74" i="1" s="1"/>
  <c r="I74" i="1"/>
  <c r="J74" i="1" s="1"/>
  <c r="D74" i="1"/>
  <c r="E74" i="1" s="1"/>
  <c r="R73" i="1"/>
  <c r="N73" i="1"/>
  <c r="O73" i="1" s="1"/>
  <c r="M73" i="1"/>
  <c r="L73" i="1"/>
  <c r="I73" i="1"/>
  <c r="J73" i="1" s="1"/>
  <c r="H73" i="1"/>
  <c r="G73" i="1"/>
  <c r="AH72" i="1"/>
  <c r="AI72" i="1" s="1"/>
  <c r="AG72" i="1"/>
  <c r="AF72" i="1"/>
  <c r="AC72" i="1"/>
  <c r="AD72" i="1" s="1"/>
  <c r="AB72" i="1"/>
  <c r="AA72" i="1"/>
  <c r="X72" i="1"/>
  <c r="Y72" i="1" s="1"/>
  <c r="W72" i="1"/>
  <c r="V72" i="1"/>
  <c r="S72" i="1"/>
  <c r="T72" i="1" s="1"/>
  <c r="R72" i="1"/>
  <c r="Q72" i="1"/>
  <c r="N72" i="1"/>
  <c r="O72" i="1" s="1"/>
  <c r="M72" i="1"/>
  <c r="L72" i="1"/>
  <c r="I72" i="1"/>
  <c r="J72" i="1" s="1"/>
  <c r="H72" i="1"/>
  <c r="G72" i="1"/>
  <c r="D72" i="1"/>
  <c r="E72" i="1" s="1"/>
  <c r="C72" i="1"/>
  <c r="B72" i="1"/>
  <c r="AM71" i="1"/>
  <c r="AN71" i="1" s="1"/>
  <c r="AL71" i="1"/>
  <c r="AK71" i="1"/>
  <c r="AH71" i="1"/>
  <c r="AI71" i="1" s="1"/>
  <c r="AC71" i="1"/>
  <c r="AD71" i="1" s="1"/>
  <c r="S71" i="1"/>
  <c r="T71" i="1" s="1"/>
  <c r="N71" i="1"/>
  <c r="O71" i="1" s="1"/>
  <c r="I71" i="1"/>
  <c r="J71" i="1" s="1"/>
  <c r="D71" i="1"/>
  <c r="E71" i="1" s="1"/>
  <c r="AM70" i="1"/>
  <c r="AN70" i="1" s="1"/>
  <c r="AL70" i="1"/>
  <c r="AL72" i="1" s="1"/>
  <c r="AK70" i="1"/>
  <c r="AK72" i="1" s="1"/>
  <c r="AM72" i="1" s="1"/>
  <c r="AN72" i="1" s="1"/>
  <c r="AH70" i="1"/>
  <c r="AI70" i="1" s="1"/>
  <c r="AC70" i="1"/>
  <c r="AD70" i="1" s="1"/>
  <c r="X70" i="1"/>
  <c r="Y70" i="1" s="1"/>
  <c r="S70" i="1"/>
  <c r="T70" i="1" s="1"/>
  <c r="N70" i="1"/>
  <c r="O70" i="1" s="1"/>
  <c r="I70" i="1"/>
  <c r="J70" i="1" s="1"/>
  <c r="D70" i="1"/>
  <c r="E70" i="1" s="1"/>
  <c r="AI69" i="1"/>
  <c r="AG69" i="1"/>
  <c r="AB69" i="1"/>
  <c r="W69" i="1"/>
  <c r="O69" i="1"/>
  <c r="M69" i="1"/>
  <c r="H69" i="1"/>
  <c r="C69" i="1"/>
  <c r="AG68" i="1"/>
  <c r="AB68" i="1"/>
  <c r="W68" i="1"/>
  <c r="R68" i="1"/>
  <c r="C68" i="1"/>
  <c r="M67" i="1"/>
  <c r="J67" i="1"/>
  <c r="H67" i="1"/>
  <c r="G67" i="1"/>
  <c r="I67" i="1" s="1"/>
  <c r="O66" i="1"/>
  <c r="M66" i="1"/>
  <c r="H66" i="1"/>
  <c r="G66" i="1"/>
  <c r="I66" i="1" s="1"/>
  <c r="J66" i="1" s="1"/>
  <c r="AG65" i="1"/>
  <c r="AI65" i="1" s="1"/>
  <c r="AF65" i="1"/>
  <c r="AB65" i="1"/>
  <c r="AA65" i="1"/>
  <c r="AD65" i="1" s="1"/>
  <c r="W65" i="1"/>
  <c r="V65" i="1"/>
  <c r="X65" i="1" s="1"/>
  <c r="Y65" i="1" s="1"/>
  <c r="Q65" i="1"/>
  <c r="I65" i="1"/>
  <c r="J65" i="1" s="1"/>
  <c r="H65" i="1"/>
  <c r="G65" i="1"/>
  <c r="C65" i="1"/>
  <c r="E65" i="1" s="1"/>
  <c r="B65" i="1"/>
  <c r="AL64" i="1"/>
  <c r="AI64" i="1"/>
  <c r="AH64" i="1"/>
  <c r="AD64" i="1"/>
  <c r="AC64" i="1"/>
  <c r="Y64" i="1"/>
  <c r="X64" i="1"/>
  <c r="R64" i="1"/>
  <c r="S64" i="1" s="1"/>
  <c r="T64" i="1" s="1"/>
  <c r="N64" i="1"/>
  <c r="O64" i="1" s="1"/>
  <c r="M64" i="1"/>
  <c r="L64" i="1"/>
  <c r="AK64" i="1" s="1"/>
  <c r="I64" i="1"/>
  <c r="J64" i="1" s="1"/>
  <c r="D64" i="1"/>
  <c r="E64" i="1" s="1"/>
  <c r="AK63" i="1"/>
  <c r="AH63" i="1"/>
  <c r="AI63" i="1" s="1"/>
  <c r="AC63" i="1"/>
  <c r="AD63" i="1" s="1"/>
  <c r="X63" i="1"/>
  <c r="Y63" i="1" s="1"/>
  <c r="S63" i="1"/>
  <c r="T63" i="1" s="1"/>
  <c r="R63" i="1"/>
  <c r="R66" i="1" s="1"/>
  <c r="M63" i="1"/>
  <c r="L63" i="1"/>
  <c r="L66" i="1" s="1"/>
  <c r="N66" i="1" s="1"/>
  <c r="J63" i="1"/>
  <c r="I63" i="1"/>
  <c r="E63" i="1"/>
  <c r="D63" i="1"/>
  <c r="AI62" i="1"/>
  <c r="AH62" i="1"/>
  <c r="AD62" i="1"/>
  <c r="AC62" i="1"/>
  <c r="Y62" i="1"/>
  <c r="X62" i="1"/>
  <c r="R62" i="1"/>
  <c r="M62" i="1"/>
  <c r="M65" i="1" s="1"/>
  <c r="L62" i="1"/>
  <c r="I62" i="1"/>
  <c r="J62" i="1" s="1"/>
  <c r="D62" i="1"/>
  <c r="E62" i="1" s="1"/>
  <c r="AG58" i="1"/>
  <c r="AF58" i="1"/>
  <c r="AH58" i="1" s="1"/>
  <c r="AI58" i="1" s="1"/>
  <c r="AB58" i="1"/>
  <c r="AA58" i="1"/>
  <c r="AC58" i="1" s="1"/>
  <c r="AD58" i="1" s="1"/>
  <c r="W58" i="1"/>
  <c r="V58" i="1"/>
  <c r="X58" i="1" s="1"/>
  <c r="Y58" i="1" s="1"/>
  <c r="R58" i="1"/>
  <c r="Q58" i="1"/>
  <c r="S58" i="1" s="1"/>
  <c r="T58" i="1" s="1"/>
  <c r="M58" i="1"/>
  <c r="L58" i="1"/>
  <c r="N58" i="1" s="1"/>
  <c r="O58" i="1" s="1"/>
  <c r="H58" i="1"/>
  <c r="AL58" i="1" s="1"/>
  <c r="G58" i="1"/>
  <c r="I58" i="1" s="1"/>
  <c r="C58" i="1"/>
  <c r="B58" i="1"/>
  <c r="D58" i="1" s="1"/>
  <c r="E58" i="1" s="1"/>
  <c r="AG57" i="1"/>
  <c r="AF57" i="1"/>
  <c r="AH57" i="1" s="1"/>
  <c r="AI57" i="1" s="1"/>
  <c r="AD57" i="1"/>
  <c r="AB57" i="1"/>
  <c r="AA57" i="1"/>
  <c r="AC57" i="1" s="1"/>
  <c r="Y57" i="1"/>
  <c r="W57" i="1"/>
  <c r="V57" i="1"/>
  <c r="X57" i="1" s="1"/>
  <c r="R57" i="1"/>
  <c r="AL57" i="1" s="1"/>
  <c r="Q57" i="1"/>
  <c r="S57" i="1" s="1"/>
  <c r="T57" i="1" s="1"/>
  <c r="M57" i="1"/>
  <c r="L57" i="1"/>
  <c r="N57" i="1" s="1"/>
  <c r="O57" i="1" s="1"/>
  <c r="I57" i="1"/>
  <c r="H57" i="1"/>
  <c r="G57" i="1"/>
  <c r="AK57" i="1" s="1"/>
  <c r="D57" i="1"/>
  <c r="E57" i="1" s="1"/>
  <c r="C57" i="1"/>
  <c r="B57" i="1"/>
  <c r="AM56" i="1"/>
  <c r="AN56" i="1" s="1"/>
  <c r="AL56" i="1"/>
  <c r="AK56" i="1"/>
  <c r="AH56" i="1"/>
  <c r="AI56" i="1" s="1"/>
  <c r="AG56" i="1"/>
  <c r="AF56" i="1"/>
  <c r="AC56" i="1"/>
  <c r="AD56" i="1" s="1"/>
  <c r="AB56" i="1"/>
  <c r="AA56" i="1"/>
  <c r="W56" i="1"/>
  <c r="X56" i="1" s="1"/>
  <c r="V56" i="1"/>
  <c r="R56" i="1"/>
  <c r="S56" i="1" s="1"/>
  <c r="T56" i="1" s="1"/>
  <c r="Q56" i="1"/>
  <c r="M56" i="1"/>
  <c r="N56" i="1" s="1"/>
  <c r="O56" i="1" s="1"/>
  <c r="L56" i="1"/>
  <c r="H56" i="1"/>
  <c r="G56" i="1"/>
  <c r="I56" i="1" s="1"/>
  <c r="D56" i="1"/>
  <c r="E56" i="1" s="1"/>
  <c r="C56" i="1"/>
  <c r="B56" i="1"/>
  <c r="AG55" i="1"/>
  <c r="AF55" i="1"/>
  <c r="AH55" i="1" s="1"/>
  <c r="AI55" i="1" s="1"/>
  <c r="AC55" i="1"/>
  <c r="AD55" i="1" s="1"/>
  <c r="AB55" i="1"/>
  <c r="AA55" i="1"/>
  <c r="W55" i="1"/>
  <c r="X55" i="1" s="1"/>
  <c r="Y55" i="1" s="1"/>
  <c r="V55" i="1"/>
  <c r="R55" i="1"/>
  <c r="Q55" i="1"/>
  <c r="S55" i="1" s="1"/>
  <c r="T55" i="1" s="1"/>
  <c r="M55" i="1"/>
  <c r="L55" i="1"/>
  <c r="N55" i="1" s="1"/>
  <c r="O55" i="1" s="1"/>
  <c r="I55" i="1"/>
  <c r="J55" i="1" s="1"/>
  <c r="H55" i="1"/>
  <c r="G55" i="1"/>
  <c r="C55" i="1"/>
  <c r="B55" i="1"/>
  <c r="AK54" i="1"/>
  <c r="AG54" i="1"/>
  <c r="AF54" i="1"/>
  <c r="AH54" i="1" s="1"/>
  <c r="AI54" i="1" s="1"/>
  <c r="AC54" i="1"/>
  <c r="AD54" i="1" s="1"/>
  <c r="AB54" i="1"/>
  <c r="AA54" i="1"/>
  <c r="W54" i="1"/>
  <c r="X54" i="1" s="1"/>
  <c r="Y54" i="1" s="1"/>
  <c r="V54" i="1"/>
  <c r="R54" i="1"/>
  <c r="Q54" i="1"/>
  <c r="S54" i="1" s="1"/>
  <c r="T54" i="1" s="1"/>
  <c r="M54" i="1"/>
  <c r="L54" i="1"/>
  <c r="N54" i="1" s="1"/>
  <c r="O54" i="1" s="1"/>
  <c r="I54" i="1"/>
  <c r="J54" i="1" s="1"/>
  <c r="H54" i="1"/>
  <c r="G54" i="1"/>
  <c r="C54" i="1"/>
  <c r="B54" i="1"/>
  <c r="L51" i="1"/>
  <c r="G51" i="1"/>
  <c r="AL50" i="1"/>
  <c r="AG50" i="1"/>
  <c r="AF50" i="1"/>
  <c r="AH50" i="1" s="1"/>
  <c r="AB50" i="1"/>
  <c r="AA50" i="1"/>
  <c r="AC50" i="1" s="1"/>
  <c r="AD50" i="1" s="1"/>
  <c r="W50" i="1"/>
  <c r="V50" i="1"/>
  <c r="X50" i="1" s="1"/>
  <c r="Y50" i="1" s="1"/>
  <c r="Q50" i="1"/>
  <c r="D50" i="1"/>
  <c r="E50" i="1" s="1"/>
  <c r="C50" i="1"/>
  <c r="B50" i="1"/>
  <c r="AH49" i="1"/>
  <c r="AI49" i="1" s="1"/>
  <c r="AG49" i="1"/>
  <c r="AF49" i="1"/>
  <c r="AC49" i="1"/>
  <c r="AD49" i="1" s="1"/>
  <c r="AB49" i="1"/>
  <c r="AA49" i="1"/>
  <c r="X49" i="1"/>
  <c r="Y49" i="1" s="1"/>
  <c r="W49" i="1"/>
  <c r="V49" i="1"/>
  <c r="AK49" i="1" s="1"/>
  <c r="S49" i="1"/>
  <c r="T49" i="1" s="1"/>
  <c r="Q49" i="1"/>
  <c r="C49" i="1"/>
  <c r="B49" i="1"/>
  <c r="AG48" i="1"/>
  <c r="AH48" i="1" s="1"/>
  <c r="AI48" i="1" s="1"/>
  <c r="AF48" i="1"/>
  <c r="AB48" i="1"/>
  <c r="AC48" i="1" s="1"/>
  <c r="AD48" i="1" s="1"/>
  <c r="AA48" i="1"/>
  <c r="W48" i="1"/>
  <c r="X48" i="1" s="1"/>
  <c r="Y48" i="1" s="1"/>
  <c r="V48" i="1"/>
  <c r="Q48" i="1"/>
  <c r="C48" i="1"/>
  <c r="B48" i="1"/>
  <c r="D48" i="1" s="1"/>
  <c r="E48" i="1" s="1"/>
  <c r="AG47" i="1"/>
  <c r="AF47" i="1"/>
  <c r="AH47" i="1" s="1"/>
  <c r="AI47" i="1" s="1"/>
  <c r="AB47" i="1"/>
  <c r="W47" i="1"/>
  <c r="V47" i="1"/>
  <c r="X47" i="1" s="1"/>
  <c r="Y47" i="1" s="1"/>
  <c r="R47" i="1"/>
  <c r="AG46" i="1"/>
  <c r="AF46" i="1"/>
  <c r="AH46" i="1" s="1"/>
  <c r="AI46" i="1" s="1"/>
  <c r="AB46" i="1"/>
  <c r="AA46" i="1"/>
  <c r="AC46" i="1" s="1"/>
  <c r="AD46" i="1" s="1"/>
  <c r="W46" i="1"/>
  <c r="AL46" i="1" s="1"/>
  <c r="V46" i="1"/>
  <c r="X46" i="1" s="1"/>
  <c r="Y46" i="1" s="1"/>
  <c r="Q46" i="1"/>
  <c r="S46" i="1" s="1"/>
  <c r="T46" i="1" s="1"/>
  <c r="E46" i="1"/>
  <c r="C46" i="1"/>
  <c r="B46" i="1"/>
  <c r="D46" i="1" s="1"/>
  <c r="AG45" i="1"/>
  <c r="AB45" i="1"/>
  <c r="W45" i="1"/>
  <c r="R45" i="1"/>
  <c r="C45" i="1"/>
  <c r="AG44" i="1"/>
  <c r="AB44" i="1"/>
  <c r="W44" i="1"/>
  <c r="R44" i="1"/>
  <c r="B44" i="1"/>
  <c r="AG43" i="1"/>
  <c r="AF43" i="1"/>
  <c r="AH43" i="1" s="1"/>
  <c r="AI43" i="1" s="1"/>
  <c r="AB43" i="1"/>
  <c r="AA43" i="1"/>
  <c r="AC43" i="1" s="1"/>
  <c r="AD43" i="1" s="1"/>
  <c r="W43" i="1"/>
  <c r="AL43" i="1" s="1"/>
  <c r="V43" i="1"/>
  <c r="X43" i="1" s="1"/>
  <c r="Y43" i="1" s="1"/>
  <c r="Q43" i="1"/>
  <c r="S43" i="1" s="1"/>
  <c r="T43" i="1" s="1"/>
  <c r="C43" i="1"/>
  <c r="B43" i="1"/>
  <c r="D43" i="1" s="1"/>
  <c r="E43" i="1" s="1"/>
  <c r="AB42" i="1"/>
  <c r="W42" i="1"/>
  <c r="C42" i="1"/>
  <c r="AH41" i="1"/>
  <c r="AI41" i="1" s="1"/>
  <c r="AG41" i="1"/>
  <c r="AF41" i="1"/>
  <c r="AC41" i="1"/>
  <c r="AD41" i="1" s="1"/>
  <c r="AB41" i="1"/>
  <c r="AA41" i="1"/>
  <c r="X41" i="1"/>
  <c r="Y41" i="1" s="1"/>
  <c r="W41" i="1"/>
  <c r="V41" i="1"/>
  <c r="AK41" i="1" s="1"/>
  <c r="S41" i="1"/>
  <c r="T41" i="1" s="1"/>
  <c r="Q41" i="1"/>
  <c r="C41" i="1"/>
  <c r="B41" i="1"/>
  <c r="AG40" i="1"/>
  <c r="AF40" i="1"/>
  <c r="AH40" i="1" s="1"/>
  <c r="AB40" i="1"/>
  <c r="AA40" i="1"/>
  <c r="AC40" i="1" s="1"/>
  <c r="AD40" i="1" s="1"/>
  <c r="W40" i="1"/>
  <c r="V40" i="1"/>
  <c r="X40" i="1" s="1"/>
  <c r="T40" i="1"/>
  <c r="Q40" i="1"/>
  <c r="S40" i="1" s="1"/>
  <c r="C40" i="1"/>
  <c r="D40" i="1" s="1"/>
  <c r="B40" i="1"/>
  <c r="AK40" i="1" s="1"/>
  <c r="AL39" i="1"/>
  <c r="AG39" i="1"/>
  <c r="AH39" i="1" s="1"/>
  <c r="AI39" i="1" s="1"/>
  <c r="AF39" i="1"/>
  <c r="AF91" i="1" s="1"/>
  <c r="AB39" i="1"/>
  <c r="AC39" i="1" s="1"/>
  <c r="AD39" i="1" s="1"/>
  <c r="AA39" i="1"/>
  <c r="AA91" i="1" s="1"/>
  <c r="W39" i="1"/>
  <c r="X39" i="1" s="1"/>
  <c r="Y39" i="1" s="1"/>
  <c r="V39" i="1"/>
  <c r="V91" i="1" s="1"/>
  <c r="Q39" i="1"/>
  <c r="C39" i="1"/>
  <c r="B39" i="1"/>
  <c r="AG35" i="1"/>
  <c r="AB35" i="1"/>
  <c r="W35" i="1"/>
  <c r="C35" i="1"/>
  <c r="AG34" i="1"/>
  <c r="AB34" i="1"/>
  <c r="W34" i="1"/>
  <c r="C34" i="1"/>
  <c r="AI33" i="1"/>
  <c r="AH33" i="1"/>
  <c r="AG33" i="1"/>
  <c r="AF33" i="1"/>
  <c r="AD33" i="1"/>
  <c r="AC33" i="1"/>
  <c r="AB33" i="1"/>
  <c r="AA33" i="1"/>
  <c r="Y33" i="1"/>
  <c r="X33" i="1"/>
  <c r="W33" i="1"/>
  <c r="V33" i="1"/>
  <c r="AK33" i="1" s="1"/>
  <c r="T33" i="1"/>
  <c r="S33" i="1"/>
  <c r="Q33" i="1"/>
  <c r="C33" i="1"/>
  <c r="B33" i="1"/>
  <c r="AG32" i="1"/>
  <c r="AB32" i="1"/>
  <c r="W32" i="1"/>
  <c r="C32" i="1"/>
  <c r="AG31" i="1"/>
  <c r="AB31" i="1"/>
  <c r="W31" i="1"/>
  <c r="C31" i="1"/>
  <c r="AI30" i="1"/>
  <c r="AG30" i="1"/>
  <c r="AF30" i="1"/>
  <c r="AH30" i="1" s="1"/>
  <c r="AD30" i="1"/>
  <c r="AB30" i="1"/>
  <c r="AA30" i="1"/>
  <c r="AC30" i="1" s="1"/>
  <c r="W30" i="1"/>
  <c r="V30" i="1"/>
  <c r="Q30" i="1"/>
  <c r="S30" i="1" s="1"/>
  <c r="C30" i="1"/>
  <c r="AL30" i="1" s="1"/>
  <c r="B30" i="1"/>
  <c r="D30" i="1" s="1"/>
  <c r="E30" i="1" s="1"/>
  <c r="AG29" i="1"/>
  <c r="AF29" i="1"/>
  <c r="AH29" i="1" s="1"/>
  <c r="AI29" i="1" s="1"/>
  <c r="AB29" i="1"/>
  <c r="AA29" i="1"/>
  <c r="AC29" i="1" s="1"/>
  <c r="AD29" i="1" s="1"/>
  <c r="Y29" i="1"/>
  <c r="W29" i="1"/>
  <c r="AL29" i="1" s="1"/>
  <c r="V29" i="1"/>
  <c r="X29" i="1" s="1"/>
  <c r="Q29" i="1"/>
  <c r="S29" i="1" s="1"/>
  <c r="T29" i="1" s="1"/>
  <c r="D29" i="1"/>
  <c r="E29" i="1" s="1"/>
  <c r="C29" i="1"/>
  <c r="B29" i="1"/>
  <c r="AG28" i="1"/>
  <c r="AB28" i="1"/>
  <c r="W28" i="1"/>
  <c r="C28" i="1"/>
  <c r="AG27" i="1"/>
  <c r="AB27" i="1"/>
  <c r="W27" i="1"/>
  <c r="C27" i="1"/>
  <c r="AH26" i="1"/>
  <c r="AI26" i="1" s="1"/>
  <c r="AG26" i="1"/>
  <c r="AG73" i="1" s="1"/>
  <c r="AF26" i="1"/>
  <c r="AF73" i="1" s="1"/>
  <c r="AH73" i="1" s="1"/>
  <c r="AI73" i="1" s="1"/>
  <c r="AB26" i="1"/>
  <c r="AB73" i="1" s="1"/>
  <c r="AA26" i="1"/>
  <c r="AA73" i="1" s="1"/>
  <c r="W26" i="1"/>
  <c r="W73" i="1" s="1"/>
  <c r="V26" i="1"/>
  <c r="V73" i="1" s="1"/>
  <c r="X73" i="1" s="1"/>
  <c r="Y73" i="1" s="1"/>
  <c r="Q26" i="1"/>
  <c r="S26" i="1" s="1"/>
  <c r="T26" i="1" s="1"/>
  <c r="C26" i="1"/>
  <c r="C73" i="1" s="1"/>
  <c r="B26" i="1"/>
  <c r="AG25" i="1"/>
  <c r="AB25" i="1"/>
  <c r="W25" i="1"/>
  <c r="C25" i="1"/>
  <c r="AG24" i="1"/>
  <c r="AG67" i="1" s="1"/>
  <c r="AF24" i="1"/>
  <c r="AF67" i="1" s="1"/>
  <c r="AB24" i="1"/>
  <c r="AB67" i="1" s="1"/>
  <c r="AA24" i="1"/>
  <c r="AA67" i="1" s="1"/>
  <c r="W24" i="1"/>
  <c r="W67" i="1" s="1"/>
  <c r="V24" i="1"/>
  <c r="V67" i="1" s="1"/>
  <c r="Q24" i="1"/>
  <c r="Q67" i="1" s="1"/>
  <c r="C24" i="1"/>
  <c r="B24" i="1"/>
  <c r="D24" i="1" s="1"/>
  <c r="E24" i="1" s="1"/>
  <c r="AG23" i="1"/>
  <c r="AB23" i="1"/>
  <c r="W23" i="1"/>
  <c r="C23" i="1"/>
  <c r="AK22" i="1"/>
  <c r="AG22" i="1"/>
  <c r="AF22" i="1"/>
  <c r="AH22" i="1" s="1"/>
  <c r="AI22" i="1" s="1"/>
  <c r="AC22" i="1"/>
  <c r="AD22" i="1" s="1"/>
  <c r="AB22" i="1"/>
  <c r="AA22" i="1"/>
  <c r="W22" i="1"/>
  <c r="AL22" i="1" s="1"/>
  <c r="V22" i="1"/>
  <c r="Q22" i="1"/>
  <c r="S22" i="1" s="1"/>
  <c r="T22" i="1" s="1"/>
  <c r="E22" i="1"/>
  <c r="C22" i="1"/>
  <c r="B22" i="1"/>
  <c r="D22" i="1" s="1"/>
  <c r="AG21" i="1"/>
  <c r="AB21" i="1"/>
  <c r="W21" i="1"/>
  <c r="R21" i="1"/>
  <c r="R23" i="1" s="1"/>
  <c r="C21" i="1"/>
  <c r="AL20" i="1"/>
  <c r="AG20" i="1"/>
  <c r="AF20" i="1"/>
  <c r="AH20" i="1" s="1"/>
  <c r="AB20" i="1"/>
  <c r="AA20" i="1"/>
  <c r="AC20" i="1" s="1"/>
  <c r="X20" i="1"/>
  <c r="W20" i="1"/>
  <c r="V20" i="1"/>
  <c r="S20" i="1"/>
  <c r="T20" i="1" s="1"/>
  <c r="Q20" i="1"/>
  <c r="C20" i="1"/>
  <c r="B20" i="1"/>
  <c r="D20" i="1" s="1"/>
  <c r="AH19" i="1"/>
  <c r="AG19" i="1"/>
  <c r="AF19" i="1"/>
  <c r="AB19" i="1"/>
  <c r="AC19" i="1" s="1"/>
  <c r="AA19" i="1"/>
  <c r="W19" i="1"/>
  <c r="V19" i="1"/>
  <c r="AK19" i="1" s="1"/>
  <c r="Q19" i="1"/>
  <c r="S19" i="1" s="1"/>
  <c r="C19" i="1"/>
  <c r="D19" i="1" s="1"/>
  <c r="B19" i="1"/>
  <c r="AG18" i="1"/>
  <c r="AH18" i="1" s="1"/>
  <c r="AI18" i="1" s="1"/>
  <c r="AF18" i="1"/>
  <c r="AB18" i="1"/>
  <c r="AC18" i="1" s="1"/>
  <c r="AD18" i="1" s="1"/>
  <c r="AA18" i="1"/>
  <c r="W18" i="1"/>
  <c r="X18" i="1" s="1"/>
  <c r="Y18" i="1" s="1"/>
  <c r="V18" i="1"/>
  <c r="Q18" i="1"/>
  <c r="S18" i="1" s="1"/>
  <c r="T18" i="1" s="1"/>
  <c r="C18" i="1"/>
  <c r="B18" i="1"/>
  <c r="AK18" i="1" s="1"/>
  <c r="AG17" i="1"/>
  <c r="AF17" i="1"/>
  <c r="AH17" i="1" s="1"/>
  <c r="AI17" i="1" s="1"/>
  <c r="AB17" i="1"/>
  <c r="AA17" i="1"/>
  <c r="AC17" i="1" s="1"/>
  <c r="AD17" i="1" s="1"/>
  <c r="W17" i="1"/>
  <c r="V17" i="1"/>
  <c r="X17" i="1" s="1"/>
  <c r="Y17" i="1" s="1"/>
  <c r="R17" i="1"/>
  <c r="Q17" i="1"/>
  <c r="S17" i="1" s="1"/>
  <c r="T17" i="1" s="1"/>
  <c r="C17" i="1"/>
  <c r="AL17" i="1" s="1"/>
  <c r="B17" i="1"/>
  <c r="D17" i="1" s="1"/>
  <c r="E17" i="1" s="1"/>
  <c r="AG16" i="1"/>
  <c r="AF16" i="1"/>
  <c r="AF51" i="1" s="1"/>
  <c r="AB16" i="1"/>
  <c r="AA16" i="1"/>
  <c r="AA51" i="1" s="1"/>
  <c r="W16" i="1"/>
  <c r="AL16" i="1" s="1"/>
  <c r="AL51" i="1" s="1"/>
  <c r="V16" i="1"/>
  <c r="V51" i="1" s="1"/>
  <c r="Q16" i="1"/>
  <c r="Q51" i="1" s="1"/>
  <c r="C16" i="1"/>
  <c r="B16" i="1"/>
  <c r="B51" i="1" s="1"/>
  <c r="AG15" i="1"/>
  <c r="AG66" i="1" s="1"/>
  <c r="AF15" i="1"/>
  <c r="AF66" i="1" s="1"/>
  <c r="AH66" i="1" s="1"/>
  <c r="AI66" i="1" s="1"/>
  <c r="AB15" i="1"/>
  <c r="AB66" i="1" s="1"/>
  <c r="AA15" i="1"/>
  <c r="AA66" i="1" s="1"/>
  <c r="AC66" i="1" s="1"/>
  <c r="AD66" i="1" s="1"/>
  <c r="W15" i="1"/>
  <c r="W66" i="1" s="1"/>
  <c r="V15" i="1"/>
  <c r="V66" i="1" s="1"/>
  <c r="X66" i="1" s="1"/>
  <c r="Y66" i="1" s="1"/>
  <c r="Q15" i="1"/>
  <c r="Q66" i="1" s="1"/>
  <c r="D15" i="1"/>
  <c r="E15" i="1" s="1"/>
  <c r="C15" i="1"/>
  <c r="B15" i="1"/>
  <c r="B66" i="1" s="1"/>
  <c r="AL9" i="1"/>
  <c r="AK9" i="1"/>
  <c r="AG9" i="1"/>
  <c r="AF9" i="1"/>
  <c r="AB9" i="1"/>
  <c r="AA9" i="1"/>
  <c r="W9" i="1"/>
  <c r="V9" i="1"/>
  <c r="R9" i="1"/>
  <c r="Q9" i="1"/>
  <c r="M9" i="1"/>
  <c r="L9" i="1"/>
  <c r="H9" i="1"/>
  <c r="G9" i="1"/>
  <c r="C9" i="1"/>
  <c r="B9" i="1"/>
  <c r="A3" i="1"/>
  <c r="A2" i="1"/>
  <c r="R28" i="1" l="1"/>
  <c r="R31" i="1" s="1"/>
  <c r="R25" i="1"/>
  <c r="R27" i="1"/>
  <c r="AM22" i="1"/>
  <c r="AN22" i="1" s="1"/>
  <c r="AK17" i="1"/>
  <c r="AM17" i="1" s="1"/>
  <c r="AN17" i="1" s="1"/>
  <c r="AL18" i="1"/>
  <c r="AM18" i="1" s="1"/>
  <c r="AN18" i="1" s="1"/>
  <c r="AL55" i="1"/>
  <c r="D55" i="1"/>
  <c r="E55" i="1" s="1"/>
  <c r="D66" i="1"/>
  <c r="E66" i="1" s="1"/>
  <c r="S16" i="1"/>
  <c r="T16" i="1" s="1"/>
  <c r="AC16" i="1"/>
  <c r="AD16" i="1" s="1"/>
  <c r="AH16" i="1"/>
  <c r="AI16" i="1" s="1"/>
  <c r="D18" i="1"/>
  <c r="E18" i="1" s="1"/>
  <c r="X19" i="1"/>
  <c r="AL19" i="1"/>
  <c r="AM19" i="1" s="1"/>
  <c r="C67" i="1"/>
  <c r="C47" i="1"/>
  <c r="C66" i="1"/>
  <c r="C44" i="1"/>
  <c r="D44" i="1" s="1"/>
  <c r="E44" i="1" s="1"/>
  <c r="S15" i="1"/>
  <c r="T15" i="1" s="1"/>
  <c r="X15" i="1"/>
  <c r="Y15" i="1" s="1"/>
  <c r="AC15" i="1"/>
  <c r="AD15" i="1" s="1"/>
  <c r="AH15" i="1"/>
  <c r="AI15" i="1" s="1"/>
  <c r="D16" i="1"/>
  <c r="E16" i="1" s="1"/>
  <c r="AK20" i="1"/>
  <c r="AM20" i="1" s="1"/>
  <c r="AN20" i="1" s="1"/>
  <c r="B21" i="1"/>
  <c r="Q21" i="1"/>
  <c r="V21" i="1"/>
  <c r="AA21" i="1"/>
  <c r="AF21" i="1"/>
  <c r="AL24" i="1"/>
  <c r="AL47" i="1" s="1"/>
  <c r="B73" i="1"/>
  <c r="D73" i="1" s="1"/>
  <c r="E73" i="1" s="1"/>
  <c r="D26" i="1"/>
  <c r="E26" i="1" s="1"/>
  <c r="AC73" i="1"/>
  <c r="AD73" i="1" s="1"/>
  <c r="AK29" i="1"/>
  <c r="AM29" i="1" s="1"/>
  <c r="AN29" i="1" s="1"/>
  <c r="D39" i="1"/>
  <c r="E39" i="1" s="1"/>
  <c r="B91" i="1"/>
  <c r="AK39" i="1"/>
  <c r="AM39" i="1" s="1"/>
  <c r="AN39" i="1" s="1"/>
  <c r="AL40" i="1"/>
  <c r="AM40" i="1" s="1"/>
  <c r="AN40" i="1" s="1"/>
  <c r="AK43" i="1"/>
  <c r="V44" i="1"/>
  <c r="X44" i="1" s="1"/>
  <c r="Y44" i="1" s="1"/>
  <c r="AF44" i="1"/>
  <c r="AH44" i="1" s="1"/>
  <c r="AI44" i="1" s="1"/>
  <c r="Q47" i="1"/>
  <c r="S47" i="1" s="1"/>
  <c r="T47" i="1" s="1"/>
  <c r="AA47" i="1"/>
  <c r="AC47" i="1" s="1"/>
  <c r="AD47" i="1" s="1"/>
  <c r="D49" i="1"/>
  <c r="E49" i="1" s="1"/>
  <c r="AL49" i="1"/>
  <c r="AM49" i="1" s="1"/>
  <c r="AN49" i="1" s="1"/>
  <c r="AK50" i="1"/>
  <c r="AM50" i="1" s="1"/>
  <c r="AN50" i="1" s="1"/>
  <c r="AL54" i="1"/>
  <c r="D54" i="1"/>
  <c r="E54" i="1" s="1"/>
  <c r="AK55" i="1"/>
  <c r="AM55" i="1" s="1"/>
  <c r="AN55" i="1" s="1"/>
  <c r="AK16" i="1"/>
  <c r="E33" i="1"/>
  <c r="AL33" i="1"/>
  <c r="AN33" i="1" s="1"/>
  <c r="X22" i="1"/>
  <c r="Y22" i="1" s="1"/>
  <c r="B67" i="1"/>
  <c r="D67" i="1" s="1"/>
  <c r="E67" i="1" s="1"/>
  <c r="AK24" i="1"/>
  <c r="S24" i="1"/>
  <c r="T24" i="1" s="1"/>
  <c r="X24" i="1"/>
  <c r="Y24" i="1" s="1"/>
  <c r="AC24" i="1"/>
  <c r="AD24" i="1" s="1"/>
  <c r="AH24" i="1"/>
  <c r="AI24" i="1" s="1"/>
  <c r="AC26" i="1"/>
  <c r="AD26" i="1" s="1"/>
  <c r="AK26" i="1"/>
  <c r="AK30" i="1"/>
  <c r="AM30" i="1" s="1"/>
  <c r="AN30" i="1" s="1"/>
  <c r="D33" i="1"/>
  <c r="Q91" i="1"/>
  <c r="S39" i="1"/>
  <c r="T39" i="1" s="1"/>
  <c r="D41" i="1"/>
  <c r="E41" i="1" s="1"/>
  <c r="AL41" i="1"/>
  <c r="AM41" i="1" s="1"/>
  <c r="AN41" i="1" s="1"/>
  <c r="Q44" i="1"/>
  <c r="S44" i="1" s="1"/>
  <c r="T44" i="1" s="1"/>
  <c r="AA44" i="1"/>
  <c r="AC44" i="1" s="1"/>
  <c r="AD44" i="1" s="1"/>
  <c r="AK46" i="1"/>
  <c r="AL48" i="1"/>
  <c r="AK58" i="1"/>
  <c r="AM58" i="1" s="1"/>
  <c r="AN58" i="1" s="1"/>
  <c r="AK15" i="1"/>
  <c r="S66" i="1"/>
  <c r="T66" i="1"/>
  <c r="AL15" i="1"/>
  <c r="X16" i="1"/>
  <c r="Y16" i="1" s="1"/>
  <c r="Q73" i="1"/>
  <c r="S73" i="1" s="1"/>
  <c r="T73" i="1" s="1"/>
  <c r="X26" i="1"/>
  <c r="Y26" i="1" s="1"/>
  <c r="AL26" i="1"/>
  <c r="AL44" i="1"/>
  <c r="B47" i="1"/>
  <c r="D47" i="1" s="1"/>
  <c r="E47" i="1" s="1"/>
  <c r="S48" i="1"/>
  <c r="T48" i="1" s="1"/>
  <c r="AK48" i="1"/>
  <c r="AM54" i="1"/>
  <c r="AN54" i="1" s="1"/>
  <c r="AD69" i="1"/>
  <c r="X67" i="1"/>
  <c r="Y67" i="1" s="1"/>
  <c r="AC67" i="1"/>
  <c r="AD67" i="1" s="1"/>
  <c r="AH67" i="1"/>
  <c r="AI67" i="1" s="1"/>
  <c r="S50" i="1"/>
  <c r="L65" i="1"/>
  <c r="O65" i="1" s="1"/>
  <c r="N62" i="1"/>
  <c r="O62" i="1" s="1"/>
  <c r="L67" i="1"/>
  <c r="N67" i="1" s="1"/>
  <c r="O67" i="1" s="1"/>
  <c r="AK62" i="1"/>
  <c r="T65" i="1"/>
  <c r="AL69" i="1"/>
  <c r="R67" i="1"/>
  <c r="S67" i="1" s="1"/>
  <c r="R65" i="1"/>
  <c r="AL62" i="1"/>
  <c r="S62" i="1"/>
  <c r="T62" i="1" s="1"/>
  <c r="AM64" i="1"/>
  <c r="AN64" i="1" s="1"/>
  <c r="AK69" i="1"/>
  <c r="AM57" i="1"/>
  <c r="AN57" i="1" s="1"/>
  <c r="AC74" i="1"/>
  <c r="AD74" i="1" s="1"/>
  <c r="AL74" i="1"/>
  <c r="AM74" i="1" s="1"/>
  <c r="AN74" i="1" s="1"/>
  <c r="N63" i="1"/>
  <c r="O63" i="1" s="1"/>
  <c r="AL63" i="1"/>
  <c r="AM63" i="1" s="1"/>
  <c r="AN63" i="1" s="1"/>
  <c r="AK51" i="1" l="1"/>
  <c r="AM16" i="1"/>
  <c r="AN16" i="1" s="1"/>
  <c r="Q23" i="1"/>
  <c r="S21" i="1"/>
  <c r="T21" i="1" s="1"/>
  <c r="AM46" i="1"/>
  <c r="AN46" i="1" s="1"/>
  <c r="AK47" i="1"/>
  <c r="AM47" i="1" s="1"/>
  <c r="AN47" i="1" s="1"/>
  <c r="AL65" i="1"/>
  <c r="AM48" i="1"/>
  <c r="AN48" i="1" s="1"/>
  <c r="AK66" i="1"/>
  <c r="AK21" i="1"/>
  <c r="AM15" i="1"/>
  <c r="AN15" i="1" s="1"/>
  <c r="AK67" i="1"/>
  <c r="AM24" i="1"/>
  <c r="AN24" i="1" s="1"/>
  <c r="T67" i="1"/>
  <c r="AA23" i="1"/>
  <c r="AC21" i="1"/>
  <c r="AD21" i="1" s="1"/>
  <c r="R34" i="1"/>
  <c r="R35" i="1" s="1"/>
  <c r="R32" i="1"/>
  <c r="AN69" i="1"/>
  <c r="AK65" i="1"/>
  <c r="AM62" i="1"/>
  <c r="AN62" i="1" s="1"/>
  <c r="AL66" i="1"/>
  <c r="AL21" i="1"/>
  <c r="AL23" i="1" s="1"/>
  <c r="AL28" i="1" s="1"/>
  <c r="AL31" i="1" s="1"/>
  <c r="AM43" i="1"/>
  <c r="AN43" i="1" s="1"/>
  <c r="AK44" i="1"/>
  <c r="AM44" i="1" s="1"/>
  <c r="AN44" i="1" s="1"/>
  <c r="V23" i="1"/>
  <c r="X21" i="1"/>
  <c r="Y21" i="1" s="1"/>
  <c r="AM33" i="1"/>
  <c r="AH21" i="1"/>
  <c r="AI21" i="1" s="1"/>
  <c r="AF23" i="1"/>
  <c r="D21" i="1"/>
  <c r="E21" i="1" s="1"/>
  <c r="B23" i="1"/>
  <c r="AK73" i="1"/>
  <c r="AM26" i="1"/>
  <c r="AN26" i="1" s="1"/>
  <c r="AL67" i="1"/>
  <c r="AL25" i="1"/>
  <c r="AL73" i="1"/>
  <c r="AL27" i="1"/>
  <c r="V28" i="1" l="1"/>
  <c r="V25" i="1"/>
  <c r="Y25" i="1" s="1"/>
  <c r="X23" i="1"/>
  <c r="Y23" i="1" s="1"/>
  <c r="V27" i="1"/>
  <c r="Y27" i="1" s="1"/>
  <c r="AM21" i="1"/>
  <c r="AN21" i="1" s="1"/>
  <c r="AK23" i="1"/>
  <c r="B27" i="1"/>
  <c r="E27" i="1" s="1"/>
  <c r="D23" i="1"/>
  <c r="E23" i="1" s="1"/>
  <c r="B28" i="1"/>
  <c r="B25" i="1"/>
  <c r="E25" i="1" s="1"/>
  <c r="AN65" i="1"/>
  <c r="AM66" i="1"/>
  <c r="AN66" i="1" s="1"/>
  <c r="AL34" i="1"/>
  <c r="AL35" i="1" s="1"/>
  <c r="AL32" i="1"/>
  <c r="AC23" i="1"/>
  <c r="AD23" i="1" s="1"/>
  <c r="AA27" i="1"/>
  <c r="AD27" i="1" s="1"/>
  <c r="AA28" i="1"/>
  <c r="AA25" i="1"/>
  <c r="AD25" i="1" s="1"/>
  <c r="AM67" i="1"/>
  <c r="AN67" i="1" s="1"/>
  <c r="AM73" i="1"/>
  <c r="AN73" i="1" s="1"/>
  <c r="AH23" i="1"/>
  <c r="AI23" i="1" s="1"/>
  <c r="AF28" i="1"/>
  <c r="AF25" i="1"/>
  <c r="AI25" i="1" s="1"/>
  <c r="AF27" i="1"/>
  <c r="AI27" i="1" s="1"/>
  <c r="S23" i="1"/>
  <c r="T23" i="1" s="1"/>
  <c r="Q28" i="1"/>
  <c r="Q25" i="1"/>
  <c r="T25" i="1" s="1"/>
  <c r="Q27" i="1"/>
  <c r="T27" i="1" s="1"/>
  <c r="Q31" i="1" l="1"/>
  <c r="S28" i="1"/>
  <c r="T28" i="1" s="1"/>
  <c r="AF31" i="1"/>
  <c r="AH28" i="1"/>
  <c r="AI28" i="1" s="1"/>
  <c r="AK28" i="1"/>
  <c r="AM23" i="1"/>
  <c r="AN23" i="1" s="1"/>
  <c r="AK25" i="1"/>
  <c r="AN25" i="1" s="1"/>
  <c r="AK27" i="1"/>
  <c r="AN27" i="1" s="1"/>
  <c r="AC28" i="1"/>
  <c r="AD28" i="1" s="1"/>
  <c r="AA31" i="1"/>
  <c r="D28" i="1"/>
  <c r="E28" i="1" s="1"/>
  <c r="B31" i="1"/>
  <c r="V31" i="1"/>
  <c r="X28" i="1"/>
  <c r="Y28" i="1" s="1"/>
  <c r="AF34" i="1" l="1"/>
  <c r="AH31" i="1"/>
  <c r="AI31" i="1" s="1"/>
  <c r="AF32" i="1"/>
  <c r="AI32" i="1" s="1"/>
  <c r="AA34" i="1"/>
  <c r="AA32" i="1"/>
  <c r="AD32" i="1" s="1"/>
  <c r="AC31" i="1"/>
  <c r="AD31" i="1" s="1"/>
  <c r="V34" i="1"/>
  <c r="V32" i="1"/>
  <c r="Y32" i="1" s="1"/>
  <c r="X31" i="1"/>
  <c r="Y31" i="1" s="1"/>
  <c r="AK31" i="1"/>
  <c r="AM28" i="1"/>
  <c r="AN28" i="1" s="1"/>
  <c r="Q34" i="1"/>
  <c r="S31" i="1"/>
  <c r="T31" i="1" s="1"/>
  <c r="Q32" i="1"/>
  <c r="T32" i="1" s="1"/>
  <c r="B34" i="1"/>
  <c r="D31" i="1"/>
  <c r="E31" i="1" s="1"/>
  <c r="B32" i="1"/>
  <c r="E32" i="1" s="1"/>
  <c r="B78" i="1" l="1"/>
  <c r="B35" i="1"/>
  <c r="E35" i="1" s="1"/>
  <c r="D34" i="1"/>
  <c r="E34" i="1" s="1"/>
  <c r="V78" i="1"/>
  <c r="X34" i="1"/>
  <c r="Y34" i="1" s="1"/>
  <c r="V35" i="1"/>
  <c r="Y35" i="1" s="1"/>
  <c r="AK34" i="1"/>
  <c r="AM31" i="1"/>
  <c r="AN31" i="1" s="1"/>
  <c r="AK32" i="1"/>
  <c r="AN32" i="1" s="1"/>
  <c r="AF78" i="1"/>
  <c r="AF35" i="1"/>
  <c r="AI35" i="1" s="1"/>
  <c r="AH34" i="1"/>
  <c r="AI34" i="1" s="1"/>
  <c r="Q78" i="1"/>
  <c r="S34" i="1"/>
  <c r="T34" i="1" s="1"/>
  <c r="Q35" i="1"/>
  <c r="T35" i="1" s="1"/>
  <c r="AA78" i="1"/>
  <c r="AA35" i="1"/>
  <c r="AD35" i="1" s="1"/>
  <c r="AC34" i="1"/>
  <c r="AD34" i="1" s="1"/>
  <c r="AK35" i="1" l="1"/>
  <c r="AN35" i="1" s="1"/>
  <c r="AM34" i="1"/>
  <c r="AN34" i="1" s="1"/>
</calcChain>
</file>

<file path=xl/sharedStrings.xml><?xml version="1.0" encoding="utf-8"?>
<sst xmlns="http://schemas.openxmlformats.org/spreadsheetml/2006/main" count="111" uniqueCount="78">
  <si>
    <t>ARMM</t>
  </si>
  <si>
    <t>(In Thousand)</t>
  </si>
  <si>
    <t>NDA (not yet updated)</t>
  </si>
  <si>
    <t>BASELCO</t>
  </si>
  <si>
    <t>CASELCO</t>
  </si>
  <si>
    <t>LASURECO</t>
  </si>
  <si>
    <t>MAGELCO</t>
  </si>
  <si>
    <t>SIASELCO</t>
  </si>
  <si>
    <t>SULECO</t>
  </si>
  <si>
    <t>TAWELCO</t>
  </si>
  <si>
    <t>T O T A L</t>
  </si>
  <si>
    <t>Inc. / (Dec.)</t>
  </si>
  <si>
    <t>Inc. / (Dec)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</si>
  <si>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</si>
  <si>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</si>
  <si>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</si>
  <si>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</si>
  <si>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</si>
  <si>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</si>
  <si>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</si>
  <si>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</si>
  <si>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</si>
  <si>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</si>
  <si>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</si>
  <si>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</si>
  <si>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</si>
  <si>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</si>
  <si>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</si>
  <si>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</si>
  <si>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</si>
  <si>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</si>
  <si>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</si>
  <si>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</si>
  <si>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</si>
  <si>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</si>
  <si>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</si>
  <si>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</si>
  <si>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  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</si>
  <si>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</si>
  <si>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</si>
  <si>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</si>
  <si>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</si>
  <si>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</si>
  <si>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</si>
  <si>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</si>
  <si>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</si>
  <si>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</si>
  <si>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</si>
  <si>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</si>
  <si>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</si>
  <si>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</si>
  <si>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</si>
  <si>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</si>
  <si>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</si>
  <si>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</si>
  <si>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</si>
  <si>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</si>
  <si>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</si>
  <si>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</si>
  <si>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</si>
  <si>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</si>
  <si>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</si>
  <si>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 xml:space="preserve">  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</si>
  <si>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</si>
  <si>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</si>
  <si>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</si>
  <si>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</si>
  <si>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</si>
  <si>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</si>
  <si>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D - Extra Large</t>
  </si>
  <si>
    <t>D - Small</t>
  </si>
  <si>
    <t>D - Mega Large</t>
  </si>
  <si>
    <t>C- Extra Large</t>
  </si>
  <si>
    <t>D - Medium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</si>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</sst>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0.00_)"/>
    <numFmt numFmtId="167" formatCode="0.0000_)"/>
  </numFmts>
  <fonts count="17">
    <font>
      <sz val="10"/>
      <name val="Arial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Bahnschrift Light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horizontal="left"/>
    </xf>
    <xf numFmtId="164" fontId="3" fillId="0" borderId="0" xfId="1" applyNumberFormat="1" applyFont="1" applyFill="1"/>
    <xf numFmtId="164" fontId="3" fillId="0" borderId="0" xfId="1" applyNumberFormat="1" applyFont="1"/>
    <xf numFmtId="164" fontId="7" fillId="0" borderId="0" xfId="1" applyNumberFormat="1" applyFont="1" applyFill="1"/>
    <xf numFmtId="164" fontId="7" fillId="0" borderId="0" xfId="1" applyNumberFormat="1" applyFont="1"/>
    <xf numFmtId="165" fontId="3" fillId="0" borderId="0" xfId="0" applyNumberFormat="1" applyFont="1"/>
    <xf numFmtId="3" fontId="3" fillId="0" borderId="0" xfId="0" applyNumberFormat="1" applyFont="1" applyAlignment="1">
      <alignment horizontal="left"/>
    </xf>
    <xf numFmtId="164" fontId="10" fillId="0" borderId="0" xfId="0" applyNumberFormat="1" applyFont="1"/>
    <xf numFmtId="164" fontId="3" fillId="0" borderId="0" xfId="1" applyNumberFormat="1" applyFont="1" applyAlignment="1">
      <alignment horizontal="left"/>
    </xf>
    <xf numFmtId="164" fontId="7" fillId="0" borderId="0" xfId="1" applyNumberFormat="1" applyFont="1" applyAlignment="1">
      <alignment horizontal="left"/>
    </xf>
    <xf numFmtId="164" fontId="3" fillId="0" borderId="0" xfId="1" applyNumberFormat="1" applyFont="1" applyFill="1" applyAlignment="1">
      <alignment horizontal="left"/>
    </xf>
    <xf numFmtId="166" fontId="3" fillId="0" borderId="0" xfId="0" applyNumberFormat="1" applyFont="1"/>
    <xf numFmtId="164" fontId="11" fillId="0" borderId="0" xfId="1" applyNumberFormat="1" applyFont="1" applyFill="1"/>
    <xf numFmtId="164" fontId="12" fillId="0" borderId="0" xfId="1" applyNumberFormat="1" applyFont="1" applyFill="1"/>
    <xf numFmtId="164" fontId="7" fillId="0" borderId="0" xfId="1" applyNumberFormat="1" applyFont="1" applyFill="1" applyAlignment="1">
      <alignment horizontal="left"/>
    </xf>
    <xf numFmtId="43" fontId="3" fillId="0" borderId="0" xfId="1" applyFont="1" applyFill="1"/>
    <xf numFmtId="43" fontId="3" fillId="0" borderId="0" xfId="1" applyFont="1"/>
    <xf numFmtId="43" fontId="7" fillId="0" borderId="0" xfId="1" applyFont="1" applyFill="1"/>
    <xf numFmtId="43" fontId="7" fillId="0" borderId="0" xfId="1" applyFont="1"/>
    <xf numFmtId="39" fontId="10" fillId="0" borderId="0" xfId="0" applyNumberFormat="1" applyFont="1"/>
    <xf numFmtId="164" fontId="3" fillId="0" borderId="0" xfId="0" applyNumberFormat="1" applyFont="1"/>
    <xf numFmtId="43" fontId="7" fillId="0" borderId="0" xfId="1" applyNumberFormat="1" applyFont="1" applyFill="1"/>
    <xf numFmtId="0" fontId="3" fillId="0" borderId="0" xfId="1" applyNumberFormat="1" applyFont="1" applyFill="1"/>
    <xf numFmtId="43" fontId="3" fillId="0" borderId="0" xfId="1" applyFont="1" applyFill="1" applyAlignment="1">
      <alignment horizontal="left"/>
    </xf>
    <xf numFmtId="43" fontId="3" fillId="0" borderId="0" xfId="1" applyFont="1" applyAlignment="1">
      <alignment horizontal="left"/>
    </xf>
    <xf numFmtId="43" fontId="7" fillId="0" borderId="0" xfId="1" applyFont="1" applyFill="1" applyAlignment="1">
      <alignment horizontal="left"/>
    </xf>
    <xf numFmtId="43" fontId="7" fillId="0" borderId="0" xfId="1" applyFont="1" applyAlignment="1">
      <alignment horizontal="left"/>
    </xf>
    <xf numFmtId="37" fontId="10" fillId="0" borderId="0" xfId="0" applyNumberFormat="1" applyFont="1"/>
    <xf numFmtId="2" fontId="7" fillId="0" borderId="0" xfId="0" applyNumberFormat="1" applyFont="1" applyFill="1"/>
    <xf numFmtId="164" fontId="3" fillId="0" borderId="0" xfId="1" applyNumberFormat="1" applyFont="1" applyAlignment="1">
      <alignment horizontal="right"/>
    </xf>
    <xf numFmtId="164" fontId="8" fillId="0" borderId="0" xfId="1" applyNumberFormat="1" applyFont="1"/>
    <xf numFmtId="164" fontId="4" fillId="0" borderId="0" xfId="1" applyNumberFormat="1" applyFont="1" applyFill="1"/>
    <xf numFmtId="164" fontId="13" fillId="0" borderId="0" xfId="1" applyNumberFormat="1" applyFont="1" applyFill="1"/>
    <xf numFmtId="0" fontId="7" fillId="0" borderId="0" xfId="0" applyFont="1" applyAlignment="1">
      <alignment horizontal="left"/>
    </xf>
    <xf numFmtId="164" fontId="7" fillId="0" borderId="0" xfId="1" applyNumberFormat="1" applyFont="1" applyAlignment="1">
      <alignment horizontal="right"/>
    </xf>
    <xf numFmtId="165" fontId="7" fillId="0" borderId="0" xfId="0" applyNumberFormat="1" applyFont="1"/>
    <xf numFmtId="166" fontId="7" fillId="0" borderId="0" xfId="0" applyNumberFormat="1" applyFont="1"/>
    <xf numFmtId="43" fontId="7" fillId="0" borderId="0" xfId="1" applyFont="1" applyFill="1" applyAlignment="1">
      <alignment horizontal="center"/>
    </xf>
    <xf numFmtId="43" fontId="7" fillId="0" borderId="0" xfId="1" applyFont="1" applyAlignment="1">
      <alignment horizontal="center"/>
    </xf>
    <xf numFmtId="43" fontId="7" fillId="0" borderId="0" xfId="1" applyFont="1" applyAlignment="1">
      <alignment horizontal="right"/>
    </xf>
    <xf numFmtId="1" fontId="7" fillId="0" borderId="0" xfId="0" applyNumberFormat="1" applyFont="1"/>
    <xf numFmtId="2" fontId="7" fillId="0" borderId="0" xfId="0" applyNumberFormat="1" applyFont="1"/>
    <xf numFmtId="164" fontId="7" fillId="0" borderId="0" xfId="1" applyNumberFormat="1" applyFont="1" applyFill="1" applyAlignment="1">
      <alignment horizontal="right"/>
    </xf>
    <xf numFmtId="43" fontId="7" fillId="0" borderId="0" xfId="1" applyFont="1" applyFill="1" applyAlignment="1">
      <alignment horizontal="center"/>
    </xf>
    <xf numFmtId="39" fontId="3" fillId="0" borderId="0" xfId="0" applyNumberFormat="1" applyFont="1"/>
    <xf numFmtId="39" fontId="7" fillId="0" borderId="0" xfId="0" applyNumberFormat="1" applyFont="1"/>
    <xf numFmtId="0" fontId="14" fillId="0" borderId="0" xfId="0" applyFont="1"/>
    <xf numFmtId="43" fontId="14" fillId="0" borderId="0" xfId="0" applyNumberFormat="1" applyFont="1"/>
    <xf numFmtId="167" fontId="14" fillId="0" borderId="0" xfId="0" applyNumberFormat="1" applyFont="1"/>
    <xf numFmtId="0" fontId="13" fillId="0" borderId="0" xfId="0" applyFont="1"/>
    <xf numFmtId="0" fontId="15" fillId="0" borderId="0" xfId="0" applyFont="1"/>
    <xf numFmtId="39" fontId="3" fillId="0" borderId="0" xfId="0" applyNumberFormat="1" applyFont="1" applyAlignment="1">
      <alignment horizontal="right"/>
    </xf>
    <xf numFmtId="43" fontId="14" fillId="0" borderId="0" xfId="1" applyFont="1"/>
    <xf numFmtId="43" fontId="16" fillId="0" borderId="0" xfId="0" applyNumberFormat="1" applyFont="1"/>
    <xf numFmtId="0" fontId="16" fillId="0" borderId="0" xfId="0" applyFont="1"/>
  </cellXfs>
  <cellStyles count="2">
    <cellStyle name="Comma 1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canned\ECs'%20Monthly%20Statistical%20Reports\3Q%20MFSR%202024\barmm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canned\ECs'%20Monthly%20Statistical%20Reports\3Q%20MFSR%202023\barmm%20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afileserver\ECFMSS\00_Quarterly%20Reports\Financial%20Profile\2023\Consolidated%20Financial%20Profile%20as%20of%20September%2030,%20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ARMM\BASELCO_LI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ARMM\MAGELCO_LINK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ARMM\SIASELCO_LIN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ARMM\SULECO_LIN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ARMM\TAWELCO_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ALL%20FILES\USB%201\MARCH%202020%20FILES%20(KPS%20&amp;%20FP)\ABI\2023\LINKING\link%20%20to%20%20FINANCIAL%20%20PROFILE%20%20FINAL2_DECEMB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156">
          <cell r="I156">
            <v>23.777810755141463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WELCO"/>
      <sheetName val="SIASELCO"/>
      <sheetName val="SULECO"/>
      <sheetName val="BASELCO"/>
      <sheetName val="CASELCO"/>
      <sheetName val="LASURECO"/>
      <sheetName val="MAGELC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56">
          <cell r="O56">
            <v>190829265</v>
          </cell>
        </row>
        <row r="58">
          <cell r="O58">
            <v>134728813</v>
          </cell>
        </row>
        <row r="59">
          <cell r="O59">
            <v>65179</v>
          </cell>
        </row>
      </sheetData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WELCO"/>
      <sheetName val="SIASELCO"/>
      <sheetName val="SULECO"/>
      <sheetName val="BASELCO"/>
      <sheetName val="CASELCO"/>
      <sheetName val="LASURECO"/>
      <sheetName val="MAGELCO"/>
    </sheetNames>
    <sheetDataSet>
      <sheetData sheetId="0"/>
      <sheetData sheetId="1" refreshError="1"/>
      <sheetData sheetId="2" refreshError="1"/>
      <sheetData sheetId="3" refreshError="1"/>
      <sheetData sheetId="4"/>
      <sheetData sheetId="5">
        <row r="47">
          <cell r="O47">
            <v>182195974</v>
          </cell>
        </row>
        <row r="49">
          <cell r="O49">
            <v>107004257.16</v>
          </cell>
        </row>
        <row r="50">
          <cell r="O50">
            <v>63259</v>
          </cell>
        </row>
      </sheetData>
      <sheetData sheetId="6">
        <row r="49">
          <cell r="O49">
            <v>57087166</v>
          </cell>
        </row>
        <row r="50">
          <cell r="O50">
            <v>836509.37999999989</v>
          </cell>
        </row>
        <row r="57">
          <cell r="O57">
            <v>111471440.76199999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  <row r="61">
          <cell r="G61">
            <v>0</v>
          </cell>
          <cell r="L61">
            <v>0</v>
          </cell>
        </row>
        <row r="62">
          <cell r="G62">
            <v>0</v>
          </cell>
          <cell r="L62">
            <v>0</v>
          </cell>
        </row>
        <row r="64">
          <cell r="G64">
            <v>0</v>
          </cell>
          <cell r="L64">
            <v>0</v>
          </cell>
        </row>
        <row r="68">
          <cell r="B68">
            <v>0</v>
          </cell>
          <cell r="G68">
            <v>0</v>
          </cell>
          <cell r="L68">
            <v>0</v>
          </cell>
          <cell r="Q68">
            <v>0</v>
          </cell>
          <cell r="V68">
            <v>0</v>
          </cell>
          <cell r="AA68">
            <v>0</v>
          </cell>
          <cell r="AF68">
            <v>0</v>
          </cell>
        </row>
        <row r="69">
          <cell r="B69">
            <v>65.140781936382893</v>
          </cell>
          <cell r="V69">
            <v>76.94164040884624</v>
          </cell>
          <cell r="AA69">
            <v>42.042702636286151</v>
          </cell>
          <cell r="AF69">
            <v>36.611547464394413</v>
          </cell>
        </row>
        <row r="74">
          <cell r="AA74">
            <v>10430</v>
          </cell>
          <cell r="AF74">
            <v>8826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118">
          <cell r="A118" t="str">
            <v>BASELCO</v>
          </cell>
          <cell r="N118">
            <v>67.94087005282195</v>
          </cell>
          <cell r="P118">
            <v>-46500.575939999995</v>
          </cell>
          <cell r="S118">
            <v>-915.30825000000004</v>
          </cell>
        </row>
        <row r="119">
          <cell r="A119" t="str">
            <v>CASELCO</v>
          </cell>
        </row>
        <row r="120">
          <cell r="A120" t="str">
            <v>LASURECO</v>
          </cell>
        </row>
        <row r="121">
          <cell r="A121" t="str">
            <v>MAGELCO</v>
          </cell>
          <cell r="N121">
            <v>12.646914592201783</v>
          </cell>
          <cell r="P121">
            <v>-225824.92277999999</v>
          </cell>
          <cell r="S121">
            <v>82828.303260000001</v>
          </cell>
        </row>
        <row r="122">
          <cell r="A122" t="str">
            <v>SIASELCO</v>
          </cell>
          <cell r="N122">
            <v>80.961715020015717</v>
          </cell>
          <cell r="P122">
            <v>3689.8710000000005</v>
          </cell>
          <cell r="S122">
            <v>3457.4652000000001</v>
          </cell>
        </row>
        <row r="123">
          <cell r="A123" t="str">
            <v>SULECO</v>
          </cell>
          <cell r="N123">
            <v>44.27561889325861</v>
          </cell>
          <cell r="P123">
            <v>16832.424209999997</v>
          </cell>
          <cell r="S123">
            <v>89048.89817</v>
          </cell>
        </row>
        <row r="124">
          <cell r="A124" t="str">
            <v>TAWELCO</v>
          </cell>
          <cell r="N124">
            <v>38.576515333710212</v>
          </cell>
          <cell r="P124">
            <v>-73570.700619999989</v>
          </cell>
          <cell r="S124">
            <v>50787.134479999993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BASELCO"/>
    </sheetNames>
    <sheetDataSet>
      <sheetData sheetId="0">
        <row r="5">
          <cell r="U5">
            <v>475829.74586000002</v>
          </cell>
        </row>
        <row r="6">
          <cell r="U6">
            <v>16475.350460000001</v>
          </cell>
        </row>
        <row r="7">
          <cell r="U7">
            <v>10707.882010000001</v>
          </cell>
        </row>
        <row r="10">
          <cell r="U10">
            <v>51215.869260000007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9687.6754599999986</v>
          </cell>
        </row>
        <row r="16">
          <cell r="U16">
            <v>363175.44947999995</v>
          </cell>
        </row>
        <row r="18">
          <cell r="U18">
            <v>102214.67331</v>
          </cell>
        </row>
        <row r="21">
          <cell r="U21">
            <v>2467.8580400000001</v>
          </cell>
        </row>
        <row r="22">
          <cell r="U22">
            <v>2236.2650000000003</v>
          </cell>
        </row>
        <row r="25">
          <cell r="U25">
            <v>0</v>
          </cell>
        </row>
        <row r="31">
          <cell r="U31">
            <v>-915.31</v>
          </cell>
        </row>
        <row r="32">
          <cell r="U32">
            <v>0</v>
          </cell>
        </row>
        <row r="33">
          <cell r="U33">
            <v>9238.58</v>
          </cell>
        </row>
        <row r="35">
          <cell r="U35">
            <v>317628.27</v>
          </cell>
        </row>
        <row r="38">
          <cell r="U38">
            <v>3487123.66</v>
          </cell>
        </row>
        <row r="40">
          <cell r="U40">
            <v>36758.151790000004</v>
          </cell>
        </row>
        <row r="41">
          <cell r="U41">
            <v>2114.10034</v>
          </cell>
        </row>
        <row r="42">
          <cell r="U42">
            <v>10359.250899999999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  <cell r="V15">
            <v>43756.4087</v>
          </cell>
          <cell r="AA15">
            <v>439862.44502000004</v>
          </cell>
          <cell r="AF15">
            <v>378371.13006</v>
          </cell>
        </row>
        <row r="16">
          <cell r="B16">
            <v>15189.754659999999</v>
          </cell>
          <cell r="V16">
            <v>1579.1342300000001</v>
          </cell>
          <cell r="AA16">
            <v>15964.559010000001</v>
          </cell>
          <cell r="AF16">
            <v>13392.449789999999</v>
          </cell>
        </row>
        <row r="17">
          <cell r="B17">
            <v>9024.0939800000015</v>
          </cell>
          <cell r="V17">
            <v>913.95006000000012</v>
          </cell>
          <cell r="AA17">
            <v>9743.3546800000004</v>
          </cell>
          <cell r="AF17">
            <v>7478.3966799999998</v>
          </cell>
        </row>
        <row r="18">
          <cell r="B18">
            <v>44404.122769999994</v>
          </cell>
          <cell r="V18">
            <v>4575.0125900000003</v>
          </cell>
          <cell r="AA18">
            <v>44831.956599999998</v>
          </cell>
          <cell r="AF18">
            <v>39107.184759999996</v>
          </cell>
        </row>
        <row r="19">
          <cell r="B19">
            <v>0</v>
          </cell>
          <cell r="V19">
            <v>0</v>
          </cell>
          <cell r="AA19">
            <v>0</v>
          </cell>
          <cell r="AF19">
            <v>0</v>
          </cell>
        </row>
        <row r="20">
          <cell r="B20">
            <v>0</v>
          </cell>
          <cell r="V20">
            <v>0</v>
          </cell>
          <cell r="AA20">
            <v>0</v>
          </cell>
          <cell r="AF20">
            <v>0</v>
          </cell>
        </row>
        <row r="21">
          <cell r="B21">
            <v>342422.28438999999</v>
          </cell>
          <cell r="V21">
            <v>36688.311819999995</v>
          </cell>
          <cell r="AA21">
            <v>369322.57473000005</v>
          </cell>
          <cell r="AF21">
            <v>318393.09883000003</v>
          </cell>
        </row>
        <row r="22">
          <cell r="B22">
            <v>9066.3174600000002</v>
          </cell>
          <cell r="V22">
            <v>2576.2143100000003</v>
          </cell>
          <cell r="AA22">
            <v>33287.097689999995</v>
          </cell>
          <cell r="AF22">
            <v>14956.61541</v>
          </cell>
        </row>
        <row r="23">
          <cell r="B23">
            <v>351488.60184999998</v>
          </cell>
          <cell r="V23">
            <v>39264.526129999998</v>
          </cell>
          <cell r="AA23">
            <v>402609.67242000008</v>
          </cell>
          <cell r="AF23">
            <v>333349.71424000006</v>
          </cell>
        </row>
        <row r="24">
          <cell r="B24">
            <v>304081.19819999998</v>
          </cell>
          <cell r="V24">
            <v>27588.957449999998</v>
          </cell>
          <cell r="AA24">
            <v>334856.75926999998</v>
          </cell>
          <cell r="AF24">
            <v>240832.13475999999</v>
          </cell>
        </row>
        <row r="25">
          <cell r="B25">
            <v>87</v>
          </cell>
          <cell r="V25">
            <v>70</v>
          </cell>
          <cell r="AA25">
            <v>83</v>
          </cell>
          <cell r="AF25">
            <v>72</v>
          </cell>
        </row>
        <row r="26">
          <cell r="B26">
            <v>122411.59858000001</v>
          </cell>
          <cell r="V26">
            <v>9035.8050199999998</v>
          </cell>
          <cell r="AA26">
            <v>41448.700239999998</v>
          </cell>
          <cell r="AF26">
            <v>30283.549660000004</v>
          </cell>
        </row>
        <row r="27">
          <cell r="B27">
            <v>35</v>
          </cell>
          <cell r="V27">
            <v>23</v>
          </cell>
          <cell r="AA27">
            <v>10</v>
          </cell>
          <cell r="AF27">
            <v>9</v>
          </cell>
        </row>
        <row r="28">
          <cell r="B28">
            <v>-75004.194930000012</v>
          </cell>
          <cell r="V28">
            <v>2639.7636600000005</v>
          </cell>
          <cell r="AA28">
            <v>26304.212910000097</v>
          </cell>
          <cell r="AF28">
            <v>62234.029820000069</v>
          </cell>
        </row>
        <row r="29">
          <cell r="B29">
            <v>32829.586499999998</v>
          </cell>
          <cell r="V29">
            <v>28.019640000000003</v>
          </cell>
          <cell r="AA29">
            <v>24158.679899999999</v>
          </cell>
          <cell r="AF29">
            <v>6264.0225699999992</v>
          </cell>
        </row>
        <row r="30">
          <cell r="B30">
            <v>1157.0859999999998</v>
          </cell>
          <cell r="V30">
            <v>0</v>
          </cell>
          <cell r="AA30">
            <v>807.82600000000002</v>
          </cell>
          <cell r="AF30">
            <v>73776.228589999999</v>
          </cell>
        </row>
        <row r="31">
          <cell r="B31">
            <v>-108990.86743</v>
          </cell>
          <cell r="V31">
            <v>2611.7440200000005</v>
          </cell>
          <cell r="AA31">
            <v>1337.7070100000974</v>
          </cell>
          <cell r="AF31">
            <v>-17806.221339999931</v>
          </cell>
        </row>
        <row r="32">
          <cell r="B32">
            <v>-31</v>
          </cell>
          <cell r="V32">
            <v>7</v>
          </cell>
          <cell r="AA32">
            <v>0</v>
          </cell>
          <cell r="AF32">
            <v>-5</v>
          </cell>
        </row>
        <row r="33">
          <cell r="B33">
            <v>0</v>
          </cell>
          <cell r="V33">
            <v>0</v>
          </cell>
          <cell r="AA33">
            <v>1047.6436899999999</v>
          </cell>
          <cell r="AF33">
            <v>0</v>
          </cell>
        </row>
        <row r="34">
          <cell r="B34">
            <v>-108990.86743</v>
          </cell>
          <cell r="V34">
            <v>2611.7440200000005</v>
          </cell>
          <cell r="AA34">
            <v>290.06332000009752</v>
          </cell>
          <cell r="AF34">
            <v>-17806.221339999931</v>
          </cell>
        </row>
        <row r="35">
          <cell r="B35">
            <v>-31</v>
          </cell>
          <cell r="V35">
            <v>7</v>
          </cell>
          <cell r="AA35">
            <v>0</v>
          </cell>
          <cell r="AF35">
            <v>-5</v>
          </cell>
        </row>
        <row r="39">
          <cell r="B39">
            <v>29977.97147</v>
          </cell>
          <cell r="V39">
            <v>5140.99</v>
          </cell>
          <cell r="AA39">
            <v>79948.463599999988</v>
          </cell>
          <cell r="AF39">
            <v>36812.68</v>
          </cell>
        </row>
        <row r="40">
          <cell r="B40">
            <v>0</v>
          </cell>
          <cell r="V40">
            <v>0</v>
          </cell>
          <cell r="AA40">
            <v>22244.236359999999</v>
          </cell>
          <cell r="AF40">
            <v>0</v>
          </cell>
        </row>
        <row r="41">
          <cell r="B41">
            <v>-8026.6611299999995</v>
          </cell>
          <cell r="V41">
            <v>731.45</v>
          </cell>
          <cell r="AA41">
            <v>30962.705089999999</v>
          </cell>
          <cell r="AF41">
            <v>3556.38</v>
          </cell>
        </row>
        <row r="43">
          <cell r="B43">
            <v>264778.2</v>
          </cell>
          <cell r="V43">
            <v>20841.400000000001</v>
          </cell>
          <cell r="AA43">
            <v>737224.75</v>
          </cell>
          <cell r="AF43">
            <v>728257.99</v>
          </cell>
        </row>
        <row r="44">
          <cell r="V44">
            <v>4.2867457721684552</v>
          </cell>
          <cell r="AA44">
            <v>15.084312891723032</v>
          </cell>
          <cell r="AF44">
            <v>17.32246831030859</v>
          </cell>
        </row>
        <row r="46">
          <cell r="B46">
            <v>3174943.7</v>
          </cell>
          <cell r="V46">
            <v>3850.9</v>
          </cell>
          <cell r="AA46">
            <v>1701218.5</v>
          </cell>
          <cell r="AF46">
            <v>2098282.44</v>
          </cell>
        </row>
        <row r="47">
          <cell r="V47">
            <v>1.2562308692820867</v>
          </cell>
          <cell r="AA47">
            <v>45.723928444444333</v>
          </cell>
          <cell r="AF47">
            <v>78.413713264715653</v>
          </cell>
        </row>
        <row r="48">
          <cell r="B48">
            <v>15484.396708888888</v>
          </cell>
          <cell r="V48">
            <v>3204.5386711111114</v>
          </cell>
          <cell r="AA48">
            <v>25548.350666666669</v>
          </cell>
          <cell r="AF48">
            <v>26543.354682222223</v>
          </cell>
        </row>
        <row r="49">
          <cell r="B49">
            <v>3189.01658</v>
          </cell>
          <cell r="V49">
            <v>61.471059999999994</v>
          </cell>
          <cell r="AA49">
            <v>853.28296</v>
          </cell>
          <cell r="AF49">
            <v>5054.3394000000008</v>
          </cell>
        </row>
        <row r="50">
          <cell r="B50">
            <v>25036.894110000001</v>
          </cell>
          <cell r="V50">
            <v>647.18354999999997</v>
          </cell>
          <cell r="AA50">
            <v>50814.620130000003</v>
          </cell>
          <cell r="AF50">
            <v>5288.6430700000001</v>
          </cell>
        </row>
        <row r="54">
          <cell r="B54">
            <v>26586.69774</v>
          </cell>
          <cell r="G54">
            <v>466.35113999999999</v>
          </cell>
          <cell r="L54">
            <v>272997.79181999998</v>
          </cell>
          <cell r="Q54">
            <v>57026.681530000002</v>
          </cell>
          <cell r="V54">
            <v>6267.7042300000003</v>
          </cell>
          <cell r="AA54">
            <v>47317.115180000001</v>
          </cell>
          <cell r="AF54">
            <v>40973.21039</v>
          </cell>
        </row>
        <row r="55">
          <cell r="B55">
            <v>23905.812239999999</v>
          </cell>
          <cell r="G55">
            <v>466.35113999999999</v>
          </cell>
          <cell r="L55">
            <v>21813.982640000002</v>
          </cell>
          <cell r="Q55">
            <v>42175.16476</v>
          </cell>
          <cell r="V55">
            <v>5928.9422599999998</v>
          </cell>
          <cell r="AA55">
            <v>48358.32907</v>
          </cell>
          <cell r="AF55">
            <v>41219.661850000004</v>
          </cell>
        </row>
        <row r="56">
          <cell r="B56">
            <v>0.83101073323633157</v>
          </cell>
          <cell r="G56">
            <v>0</v>
          </cell>
          <cell r="L56">
            <v>67.952248592186578</v>
          </cell>
          <cell r="Q56">
            <v>7.9632498805634517</v>
          </cell>
          <cell r="V56">
            <v>0</v>
          </cell>
          <cell r="AA56">
            <v>-1.1346401608438845</v>
          </cell>
          <cell r="AF56">
            <v>-0.21706574996675454</v>
          </cell>
        </row>
        <row r="57">
          <cell r="B57">
            <v>2680.8855000000003</v>
          </cell>
          <cell r="G57">
            <v>0</v>
          </cell>
          <cell r="L57">
            <v>251183.80917999998</v>
          </cell>
          <cell r="Q57">
            <v>14851.516770000002</v>
          </cell>
          <cell r="V57">
            <v>338.76197000000047</v>
          </cell>
          <cell r="AA57">
            <v>-1041.2138899999991</v>
          </cell>
          <cell r="AF57">
            <v>-246.45146000000386</v>
          </cell>
        </row>
        <row r="58">
          <cell r="B58">
            <v>91827.69339</v>
          </cell>
          <cell r="G58">
            <v>0</v>
          </cell>
          <cell r="L58">
            <v>278659.45525</v>
          </cell>
          <cell r="Q58">
            <v>29060.42095</v>
          </cell>
          <cell r="V58">
            <v>12056.821970000001</v>
          </cell>
          <cell r="AA58">
            <v>23026.130109999998</v>
          </cell>
          <cell r="AF58">
            <v>33555.329210000004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MAGELCO"/>
    </sheetNames>
    <sheetDataSet>
      <sheetData sheetId="0">
        <row r="5">
          <cell r="U5">
            <v>384516.73745000002</v>
          </cell>
        </row>
        <row r="6">
          <cell r="U6">
            <v>6920.6877999999997</v>
          </cell>
        </row>
        <row r="7">
          <cell r="U7">
            <v>15811.2798</v>
          </cell>
        </row>
        <row r="10">
          <cell r="U10">
            <v>20037.012049999998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414.12566000000004</v>
          </cell>
        </row>
        <row r="16">
          <cell r="U16">
            <v>475757.12507000001</v>
          </cell>
        </row>
        <row r="18">
          <cell r="U18">
            <v>86964.632719999994</v>
          </cell>
        </row>
        <row r="21">
          <cell r="U21">
            <v>12177.787340000001</v>
          </cell>
        </row>
        <row r="22">
          <cell r="U22">
            <v>0</v>
          </cell>
        </row>
        <row r="25">
          <cell r="U25">
            <v>7.9496200000000004</v>
          </cell>
        </row>
        <row r="31">
          <cell r="U31">
            <v>82828.3</v>
          </cell>
        </row>
        <row r="32">
          <cell r="U32">
            <v>2016.32</v>
          </cell>
        </row>
        <row r="33">
          <cell r="U33">
            <v>15293.65</v>
          </cell>
        </row>
        <row r="35">
          <cell r="U35">
            <v>2466299.46</v>
          </cell>
        </row>
        <row r="38">
          <cell r="U38">
            <v>1224395.1000000001</v>
          </cell>
        </row>
        <row r="40">
          <cell r="U40">
            <v>17206.853842222219</v>
          </cell>
        </row>
        <row r="41">
          <cell r="U41">
            <v>6015.1143499999998</v>
          </cell>
        </row>
        <row r="42">
          <cell r="U42">
            <v>902.06315000000006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</sheetNames>
    <sheetDataSet>
      <sheetData sheetId="0">
        <row r="5">
          <cell r="U5">
            <v>47873.533790000001</v>
          </cell>
        </row>
        <row r="6">
          <cell r="U6">
            <v>1669.2568299999998</v>
          </cell>
        </row>
        <row r="7">
          <cell r="U7">
            <v>1028.7909400000001</v>
          </cell>
        </row>
        <row r="10">
          <cell r="U10">
            <v>4994.2332700000006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2991.1795499999998</v>
          </cell>
        </row>
        <row r="16">
          <cell r="U16">
            <v>31171.484409999997</v>
          </cell>
        </row>
        <row r="18">
          <cell r="U18">
            <v>9513.0915000000005</v>
          </cell>
        </row>
        <row r="21">
          <cell r="U21">
            <v>467.24647999999996</v>
          </cell>
        </row>
        <row r="22">
          <cell r="U22">
            <v>0</v>
          </cell>
        </row>
        <row r="25">
          <cell r="U25">
            <v>0</v>
          </cell>
        </row>
        <row r="31">
          <cell r="U31">
            <v>3457.47</v>
          </cell>
        </row>
        <row r="32">
          <cell r="U32">
            <v>0</v>
          </cell>
        </row>
        <row r="33">
          <cell r="U33">
            <v>1132.04</v>
          </cell>
        </row>
        <row r="35">
          <cell r="U35">
            <v>20140.599999999999</v>
          </cell>
        </row>
        <row r="38">
          <cell r="U38">
            <v>4100.67</v>
          </cell>
        </row>
        <row r="40">
          <cell r="U40">
            <v>3749.3197311111112</v>
          </cell>
        </row>
        <row r="41">
          <cell r="U41">
            <v>268.30106000000001</v>
          </cell>
        </row>
        <row r="42">
          <cell r="U42">
            <v>1161.41202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</sheetNames>
    <sheetDataSet>
      <sheetData sheetId="0">
        <row r="5">
          <cell r="U5">
            <v>512402.63907999999</v>
          </cell>
        </row>
        <row r="6">
          <cell r="U6">
            <v>17013.64962</v>
          </cell>
        </row>
        <row r="7">
          <cell r="U7">
            <v>13994.25201</v>
          </cell>
        </row>
        <row r="10">
          <cell r="U10">
            <v>51121.8269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31307.558980000002</v>
          </cell>
        </row>
        <row r="16">
          <cell r="U16">
            <v>384567.36018999998</v>
          </cell>
        </row>
        <row r="18">
          <cell r="U18">
            <v>48658.212100000004</v>
          </cell>
        </row>
        <row r="21">
          <cell r="U21">
            <v>27814.572479999995</v>
          </cell>
        </row>
        <row r="22">
          <cell r="U22">
            <v>721.55400000000009</v>
          </cell>
        </row>
        <row r="25">
          <cell r="U25">
            <v>0</v>
          </cell>
        </row>
        <row r="31">
          <cell r="U31">
            <v>89048.9</v>
          </cell>
        </row>
        <row r="32">
          <cell r="U32">
            <v>22983.06</v>
          </cell>
        </row>
        <row r="33">
          <cell r="U33">
            <v>29577.77</v>
          </cell>
        </row>
        <row r="35">
          <cell r="U35">
            <v>806212.27</v>
          </cell>
        </row>
        <row r="38">
          <cell r="U38">
            <v>3700005.86</v>
          </cell>
        </row>
        <row r="40">
          <cell r="U40">
            <v>42045.216666666674</v>
          </cell>
        </row>
        <row r="41">
          <cell r="U41">
            <v>514.38396</v>
          </cell>
        </row>
        <row r="42">
          <cell r="U42">
            <v>8232.0521800000006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</sheetNames>
    <sheetDataSet>
      <sheetData sheetId="0">
        <row r="5">
          <cell r="U5">
            <v>353509.89116999996</v>
          </cell>
        </row>
        <row r="6">
          <cell r="U6">
            <v>13117.568760000002</v>
          </cell>
        </row>
        <row r="7">
          <cell r="U7">
            <v>8283.6760400000003</v>
          </cell>
        </row>
        <row r="10">
          <cell r="U10">
            <v>36528.814010000002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10095.910620000001</v>
          </cell>
        </row>
        <row r="16">
          <cell r="U16">
            <v>272543.97121999995</v>
          </cell>
        </row>
        <row r="18">
          <cell r="U18">
            <v>31540.060210000003</v>
          </cell>
        </row>
        <row r="21">
          <cell r="U21">
            <v>6937.4617800000005</v>
          </cell>
        </row>
        <row r="22">
          <cell r="U22">
            <v>81342.522920000003</v>
          </cell>
        </row>
        <row r="25">
          <cell r="U25">
            <v>0</v>
          </cell>
        </row>
        <row r="31">
          <cell r="U31">
            <v>50787.13</v>
          </cell>
        </row>
        <row r="32">
          <cell r="U32">
            <v>0</v>
          </cell>
        </row>
        <row r="33">
          <cell r="U33">
            <v>3003.38</v>
          </cell>
        </row>
        <row r="35">
          <cell r="U35">
            <v>759137.78</v>
          </cell>
        </row>
        <row r="38">
          <cell r="U38">
            <v>2240530.02</v>
          </cell>
        </row>
        <row r="40">
          <cell r="U40">
            <v>26944.322016666669</v>
          </cell>
        </row>
        <row r="41">
          <cell r="U41">
            <v>4205.8186799999994</v>
          </cell>
        </row>
        <row r="42">
          <cell r="U42">
            <v>7441.7355700000007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boheco II"/>
      <sheetName val="surseco II"/>
      <sheetName val="surseco I"/>
      <sheetName val="surneco"/>
      <sheetName val="siarelco"/>
      <sheetName val="dielco"/>
      <sheetName val="aselco"/>
      <sheetName val="aneco"/>
      <sheetName val="moresco II"/>
      <sheetName val="moresco I"/>
      <sheetName val="moelci II"/>
      <sheetName val="moelci I"/>
      <sheetName val="laneco"/>
      <sheetName val="fibeco"/>
      <sheetName val="camelco"/>
      <sheetName val="buseco"/>
      <sheetName val="soleco"/>
      <sheetName val="esamelco"/>
      <sheetName val="samelco 2"/>
      <sheetName val="samelco 1"/>
      <sheetName val="norsamelco"/>
      <sheetName val="leyeco 5"/>
      <sheetName val="leyeco 4"/>
      <sheetName val="leyeco 3"/>
      <sheetName val="leyeco 2"/>
      <sheetName val="dorelco"/>
      <sheetName val="bileco"/>
      <sheetName val="biselco"/>
      <sheetName val="lubelco"/>
      <sheetName val="ormeco"/>
      <sheetName val="omeco"/>
      <sheetName val="romelco"/>
      <sheetName val="paleco"/>
      <sheetName val="tielco"/>
      <sheetName val="marelco"/>
      <sheetName val="cenpelco"/>
      <sheetName val="inec"/>
      <sheetName val="panelco 3"/>
      <sheetName val="iseco"/>
      <sheetName val="luelco"/>
      <sheetName val="panelco I"/>
      <sheetName val="batelec 1"/>
      <sheetName val="batelec 2"/>
      <sheetName val="fleco"/>
      <sheetName val="quezelco 1"/>
      <sheetName val="quezon 2"/>
      <sheetName val="zane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7">
          <cell r="P7">
            <v>13114.845240000001</v>
          </cell>
        </row>
        <row r="8">
          <cell r="P8">
            <v>728.79896999999994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149">
          <cell r="X149">
            <v>39493.86808</v>
          </cell>
          <cell r="Y149">
            <v>466.35113999999999</v>
          </cell>
          <cell r="Z149">
            <v>285374.43417999998</v>
          </cell>
          <cell r="AA149">
            <v>60958.327969999998</v>
          </cell>
          <cell r="AB149">
            <v>8003.4662099999996</v>
          </cell>
          <cell r="AC149">
            <v>50987.755180000007</v>
          </cell>
          <cell r="AD149">
            <v>47659.969553333336</v>
          </cell>
        </row>
        <row r="150">
          <cell r="X150">
            <v>36810.02824</v>
          </cell>
          <cell r="Y150">
            <v>466.35113999999999</v>
          </cell>
          <cell r="Z150">
            <v>24513.982640000002</v>
          </cell>
          <cell r="AA150">
            <v>44733.434862999995</v>
          </cell>
          <cell r="AB150">
            <v>8531.6102599999995</v>
          </cell>
          <cell r="AC150">
            <v>52028.969070000006</v>
          </cell>
          <cell r="AD150">
            <v>47906.281830000007</v>
          </cell>
        </row>
        <row r="151">
          <cell r="X151">
            <v>0.83192650835974857</v>
          </cell>
          <cell r="Y151">
            <v>0</v>
          </cell>
          <cell r="Z151">
            <v>71.935938138355027</v>
          </cell>
          <cell r="AA151">
            <v>19.827948618083703</v>
          </cell>
          <cell r="AB151">
            <v>0</v>
          </cell>
          <cell r="AC151">
            <v>-1.1346401608438845</v>
          </cell>
          <cell r="AD151">
            <v>-0.17526145718523431</v>
          </cell>
        </row>
        <row r="152">
          <cell r="X152">
            <v>2683.8398400000005</v>
          </cell>
          <cell r="Y152">
            <v>0</v>
          </cell>
          <cell r="Z152">
            <v>260860.45153999998</v>
          </cell>
          <cell r="AA152">
            <v>16224.893107000004</v>
          </cell>
          <cell r="AB152">
            <v>-528.14404999999988</v>
          </cell>
          <cell r="AC152">
            <v>-1041.2138899999991</v>
          </cell>
          <cell r="AD152">
            <v>-246.3122766666711</v>
          </cell>
        </row>
        <row r="153">
          <cell r="X153">
            <v>81709.453730000008</v>
          </cell>
          <cell r="Y153">
            <v>0</v>
          </cell>
          <cell r="Z153">
            <v>284488.16161000001</v>
          </cell>
          <cell r="AA153">
            <v>27779.594287000004</v>
          </cell>
          <cell r="AB153">
            <v>12895.67195</v>
          </cell>
          <cell r="AC153">
            <v>20332.14011</v>
          </cell>
          <cell r="AD153">
            <v>39154.392053333337</v>
          </cell>
        </row>
        <row r="156">
          <cell r="I156">
            <v>26.689503067462116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91"/>
  <sheetViews>
    <sheetView tabSelected="1" zoomScale="70" zoomScaleNormal="70" zoomScaleSheetLayoutView="70" workbookViewId="0">
      <pane xSplit="1" ySplit="9" topLeftCell="W50" activePane="bottomRight" state="frozen"/>
      <selection activeCell="A9" sqref="A9:XFD9"/>
      <selection pane="topRight" activeCell="A9" sqref="A9:XFD9"/>
      <selection pane="bottomLeft" activeCell="A9" sqref="A9:XFD9"/>
      <selection pane="bottomRight" activeCell="T26" sqref="T26"/>
    </sheetView>
  </sheetViews>
  <sheetFormatPr defaultColWidth="9.140625" defaultRowHeight="15" outlineLevelCol="1"/>
  <cols>
    <col min="1" max="1" width="44.5703125" style="4" customWidth="1"/>
    <col min="2" max="3" width="16.42578125" style="4" customWidth="1"/>
    <col min="4" max="4" width="16.85546875" style="4" bestFit="1" customWidth="1"/>
    <col min="5" max="5" width="13.85546875" style="4" bestFit="1" customWidth="1"/>
    <col min="6" max="6" width="1.42578125" style="4" customWidth="1"/>
    <col min="7" max="8" width="11.42578125" style="4" hidden="1" customWidth="1" outlineLevel="1"/>
    <col min="9" max="9" width="10.5703125" style="4" hidden="1" customWidth="1" outlineLevel="1"/>
    <col min="10" max="10" width="10.85546875" style="4" hidden="1" customWidth="1" outlineLevel="1"/>
    <col min="11" max="11" width="1.42578125" style="4" hidden="1" customWidth="1" outlineLevel="1"/>
    <col min="12" max="12" width="17.5703125" style="4" hidden="1" customWidth="1" outlineLevel="1"/>
    <col min="13" max="13" width="14.42578125" style="4" hidden="1" customWidth="1" outlineLevel="1"/>
    <col min="14" max="14" width="17.5703125" style="4" hidden="1" customWidth="1" outlineLevel="1"/>
    <col min="15" max="15" width="10.85546875" style="4" hidden="1" customWidth="1" outlineLevel="1"/>
    <col min="16" max="16" width="1.42578125" style="4" hidden="1" customWidth="1"/>
    <col min="17" max="17" width="14.140625" style="17" customWidth="1"/>
    <col min="18" max="18" width="12.85546875" style="17" customWidth="1"/>
    <col min="19" max="19" width="12.5703125" style="17" customWidth="1"/>
    <col min="20" max="20" width="8.85546875" style="4" customWidth="1"/>
    <col min="21" max="21" width="1.42578125" style="4" customWidth="1"/>
    <col min="22" max="22" width="14.85546875" style="4" customWidth="1"/>
    <col min="23" max="23" width="12.85546875" style="4" customWidth="1"/>
    <col min="24" max="24" width="13.5703125" style="4" bestFit="1" customWidth="1"/>
    <col min="25" max="25" width="13.85546875" style="4" bestFit="1" customWidth="1"/>
    <col min="26" max="26" width="1.42578125" style="4" customWidth="1"/>
    <col min="27" max="28" width="16.42578125" style="4" customWidth="1"/>
    <col min="29" max="29" width="17" style="4" bestFit="1" customWidth="1"/>
    <col min="30" max="30" width="11.5703125" style="4" bestFit="1" customWidth="1"/>
    <col min="31" max="31" width="1.42578125" style="4" customWidth="1"/>
    <col min="32" max="32" width="16.42578125" style="4" bestFit="1" customWidth="1"/>
    <col min="33" max="33" width="17.42578125" style="4" bestFit="1" customWidth="1"/>
    <col min="34" max="34" width="17" style="4" bestFit="1" customWidth="1"/>
    <col min="35" max="35" width="10.42578125" style="4" bestFit="1" customWidth="1"/>
    <col min="36" max="36" width="1.42578125" style="4" customWidth="1"/>
    <col min="37" max="37" width="17.5703125" style="4" bestFit="1" customWidth="1"/>
    <col min="38" max="38" width="16.42578125" style="4" customWidth="1"/>
    <col min="39" max="39" width="17" style="4" customWidth="1"/>
    <col min="40" max="40" width="10.85546875" style="4" bestFit="1" customWidth="1"/>
    <col min="41" max="41" width="12.5703125" style="4" customWidth="1"/>
    <col min="42" max="42" width="21.5703125" style="4" customWidth="1"/>
    <col min="43" max="57" width="12.5703125" style="4" customWidth="1"/>
    <col min="58" max="16384" width="9.140625" style="4"/>
  </cols>
  <sheetData>
    <row r="1" spans="1:42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2" ht="15" customHeight="1">
      <c r="A2" s="5" t="str">
        <f>[1]REG1!A2</f>
        <v>Financial Profile as of September 30,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2" ht="15" customHeight="1">
      <c r="A3" s="5" t="str">
        <f>[1]REG1!A3</f>
        <v>With Comparative Figures as of September 30, 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2" ht="15" customHeight="1">
      <c r="A4" s="6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7"/>
      <c r="M4" s="7"/>
      <c r="N4" s="2"/>
      <c r="O4" s="2"/>
      <c r="P4" s="2"/>
      <c r="Q4" s="3"/>
      <c r="R4" s="3"/>
      <c r="S4" s="8"/>
      <c r="T4" s="2"/>
      <c r="U4" s="2"/>
      <c r="V4" s="2"/>
      <c r="W4" s="2"/>
      <c r="X4" s="2"/>
      <c r="Y4" s="2"/>
      <c r="Z4" s="2"/>
      <c r="AA4" s="7"/>
      <c r="AB4" s="7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2" ht="15.75">
      <c r="A5" s="2"/>
      <c r="B5" s="9"/>
      <c r="C5" s="9"/>
      <c r="D5" s="9"/>
      <c r="E5" s="9"/>
      <c r="F5" s="10"/>
      <c r="G5" s="11" t="s">
        <v>2</v>
      </c>
      <c r="H5" s="11"/>
      <c r="I5" s="11"/>
      <c r="J5" s="11"/>
      <c r="K5" s="2"/>
      <c r="L5" s="11" t="s">
        <v>2</v>
      </c>
      <c r="M5" s="11"/>
      <c r="N5" s="11"/>
      <c r="O5" s="11"/>
      <c r="P5" s="2"/>
      <c r="Q5" s="12"/>
      <c r="R5" s="12"/>
      <c r="S5" s="12"/>
      <c r="T5" s="12"/>
      <c r="U5" s="2"/>
      <c r="V5" s="11"/>
      <c r="W5" s="11"/>
      <c r="X5" s="11"/>
      <c r="Y5" s="11"/>
      <c r="Z5" s="2"/>
      <c r="AA5" s="11"/>
      <c r="AB5" s="11"/>
      <c r="AC5" s="11"/>
      <c r="AD5" s="11"/>
      <c r="AE5" s="2"/>
      <c r="AF5" s="11"/>
      <c r="AG5" s="11"/>
      <c r="AH5" s="11"/>
      <c r="AI5" s="11"/>
      <c r="AJ5" s="2"/>
      <c r="AK5" s="10"/>
      <c r="AL5" s="10"/>
      <c r="AM5" s="10"/>
      <c r="AN5" s="10"/>
    </row>
    <row r="6" spans="1:42" ht="15.75">
      <c r="A6" s="2"/>
      <c r="B6" s="9" t="s">
        <v>3</v>
      </c>
      <c r="C6" s="9"/>
      <c r="D6" s="9"/>
      <c r="E6" s="9"/>
      <c r="F6" s="10"/>
      <c r="G6" s="11" t="s">
        <v>4</v>
      </c>
      <c r="H6" s="11"/>
      <c r="I6" s="11"/>
      <c r="J6" s="11"/>
      <c r="K6" s="2"/>
      <c r="L6" s="11" t="s">
        <v>5</v>
      </c>
      <c r="M6" s="11"/>
      <c r="N6" s="11"/>
      <c r="O6" s="11"/>
      <c r="P6" s="2"/>
      <c r="Q6" s="12" t="s">
        <v>6</v>
      </c>
      <c r="R6" s="12"/>
      <c r="S6" s="12"/>
      <c r="T6" s="12"/>
      <c r="U6" s="2"/>
      <c r="V6" s="12" t="s">
        <v>7</v>
      </c>
      <c r="W6" s="12"/>
      <c r="X6" s="12"/>
      <c r="Y6" s="12"/>
      <c r="Z6" s="3"/>
      <c r="AA6" s="12" t="s">
        <v>8</v>
      </c>
      <c r="AB6" s="12"/>
      <c r="AC6" s="12"/>
      <c r="AD6" s="12"/>
      <c r="AE6" s="3"/>
      <c r="AF6" s="12" t="s">
        <v>9</v>
      </c>
      <c r="AG6" s="12"/>
      <c r="AH6" s="12"/>
      <c r="AI6" s="12"/>
      <c r="AJ6" s="2"/>
      <c r="AK6" s="9" t="s">
        <v>10</v>
      </c>
      <c r="AL6" s="9"/>
      <c r="AM6" s="9"/>
      <c r="AN6" s="9"/>
    </row>
    <row r="7" spans="1:42" ht="15" customHeight="1">
      <c r="A7" s="2"/>
      <c r="G7" s="2"/>
      <c r="H7" s="2"/>
      <c r="I7" s="2"/>
      <c r="J7" s="2"/>
      <c r="K7" s="2"/>
      <c r="L7" s="2"/>
      <c r="M7" s="13"/>
      <c r="N7" s="2"/>
      <c r="O7" s="2"/>
      <c r="P7" s="2"/>
      <c r="Q7" s="3"/>
      <c r="R7" s="3"/>
      <c r="S7" s="3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2" ht="17.100000000000001" customHeight="1">
      <c r="B8" s="14">
        <v>2024</v>
      </c>
      <c r="C8" s="14">
        <v>2023</v>
      </c>
      <c r="D8" s="15" t="s">
        <v>11</v>
      </c>
      <c r="E8" s="15"/>
      <c r="F8" s="14"/>
      <c r="G8" s="14">
        <v>2024</v>
      </c>
      <c r="H8" s="14">
        <v>2023</v>
      </c>
      <c r="I8" s="15" t="s">
        <v>12</v>
      </c>
      <c r="J8" s="15"/>
      <c r="L8" s="14">
        <v>2024</v>
      </c>
      <c r="M8" s="14">
        <v>2023</v>
      </c>
      <c r="N8" s="15" t="s">
        <v>12</v>
      </c>
      <c r="O8" s="15"/>
      <c r="Q8" s="16">
        <v>2024</v>
      </c>
      <c r="R8" s="16">
        <v>2023</v>
      </c>
      <c r="S8" s="15" t="s">
        <v>12</v>
      </c>
      <c r="T8" s="15"/>
      <c r="V8" s="14">
        <v>2024</v>
      </c>
      <c r="W8" s="14">
        <v>2023</v>
      </c>
      <c r="X8" s="15" t="s">
        <v>12</v>
      </c>
      <c r="Y8" s="15"/>
      <c r="AA8" s="14">
        <v>2024</v>
      </c>
      <c r="AB8" s="14">
        <v>2023</v>
      </c>
      <c r="AC8" s="15" t="s">
        <v>12</v>
      </c>
      <c r="AD8" s="15"/>
      <c r="AF8" s="14">
        <v>2024</v>
      </c>
      <c r="AG8" s="14">
        <v>2023</v>
      </c>
      <c r="AH8" s="15" t="s">
        <v>12</v>
      </c>
      <c r="AI8" s="15"/>
      <c r="AK8" s="14">
        <v>2024</v>
      </c>
      <c r="AL8" s="14">
        <v>2023</v>
      </c>
      <c r="AM8" s="15" t="s">
        <v>12</v>
      </c>
      <c r="AN8" s="15"/>
    </row>
    <row r="9" spans="1:42">
      <c r="B9" s="16" t="str">
        <f>'[1]DON''T DELETE'!$B$5</f>
        <v>September</v>
      </c>
      <c r="C9" s="16" t="str">
        <f>'[1]DON''T DELETE'!$B$5</f>
        <v>September</v>
      </c>
      <c r="D9" s="14" t="s">
        <v>13</v>
      </c>
      <c r="E9" s="14" t="s">
        <v>14</v>
      </c>
      <c r="F9" s="14"/>
      <c r="G9" s="16" t="str">
        <f>'[1]DON''T DELETE'!$B$5</f>
        <v>September</v>
      </c>
      <c r="H9" s="16" t="str">
        <f>'[1]DON''T DELETE'!$B$5</f>
        <v>September</v>
      </c>
      <c r="I9" s="14" t="s">
        <v>13</v>
      </c>
      <c r="J9" s="14" t="s">
        <v>14</v>
      </c>
      <c r="L9" s="16" t="str">
        <f>'[1]DON''T DELETE'!$B$5</f>
        <v>September</v>
      </c>
      <c r="M9" s="16" t="str">
        <f>'[1]DON''T DELETE'!$B$5</f>
        <v>September</v>
      </c>
      <c r="N9" s="14" t="s">
        <v>13</v>
      </c>
      <c r="O9" s="14" t="s">
        <v>14</v>
      </c>
      <c r="Q9" s="16" t="str">
        <f>'[1]DON''T DELETE'!$B$5</f>
        <v>September</v>
      </c>
      <c r="R9" s="16" t="str">
        <f>'[1]DON''T DELETE'!$B$5</f>
        <v>September</v>
      </c>
      <c r="S9" s="16" t="s">
        <v>13</v>
      </c>
      <c r="T9" s="14" t="s">
        <v>14</v>
      </c>
      <c r="V9" s="16" t="str">
        <f>'[1]DON''T DELETE'!$B$5</f>
        <v>September</v>
      </c>
      <c r="W9" s="16" t="str">
        <f>'[1]DON''T DELETE'!$B$5</f>
        <v>September</v>
      </c>
      <c r="X9" s="14" t="s">
        <v>13</v>
      </c>
      <c r="Y9" s="14" t="s">
        <v>14</v>
      </c>
      <c r="AA9" s="16" t="str">
        <f>'[1]DON''T DELETE'!$B$5</f>
        <v>September</v>
      </c>
      <c r="AB9" s="16" t="str">
        <f>'[1]DON''T DELETE'!$B$5</f>
        <v>September</v>
      </c>
      <c r="AC9" s="14" t="s">
        <v>13</v>
      </c>
      <c r="AD9" s="14" t="s">
        <v>14</v>
      </c>
      <c r="AF9" s="16" t="str">
        <f>'[1]DON''T DELETE'!$B$5</f>
        <v>September</v>
      </c>
      <c r="AG9" s="16" t="str">
        <f>'[1]DON''T DELETE'!$B$5</f>
        <v>September</v>
      </c>
      <c r="AH9" s="14" t="s">
        <v>13</v>
      </c>
      <c r="AI9" s="14" t="s">
        <v>14</v>
      </c>
      <c r="AK9" s="16" t="str">
        <f>'[1]DON''T DELETE'!$B$5</f>
        <v>September</v>
      </c>
      <c r="AL9" s="16" t="str">
        <f>'[1]DON''T DELETE'!$B$5</f>
        <v>September</v>
      </c>
      <c r="AM9" s="14" t="s">
        <v>13</v>
      </c>
      <c r="AN9" s="14" t="s">
        <v>14</v>
      </c>
    </row>
    <row r="12" spans="1:42" ht="15.75">
      <c r="A12" s="1" t="s">
        <v>15</v>
      </c>
      <c r="AA12" s="18"/>
      <c r="AB12" s="18"/>
      <c r="AC12" s="18"/>
      <c r="AD12" s="18"/>
    </row>
    <row r="13" spans="1:42" ht="7.5" customHeight="1">
      <c r="AA13" s="18"/>
      <c r="AB13" s="18"/>
      <c r="AC13" s="18"/>
      <c r="AD13" s="18"/>
    </row>
    <row r="14" spans="1:42" ht="4.5" customHeight="1">
      <c r="AA14" s="18"/>
      <c r="AB14" s="18"/>
      <c r="AC14" s="18"/>
      <c r="AD14" s="18"/>
    </row>
    <row r="15" spans="1:42" ht="15" customHeight="1">
      <c r="A15" s="19" t="s">
        <v>16</v>
      </c>
      <c r="B15" s="20">
        <f>[2]FP!U5</f>
        <v>475829.74586000002</v>
      </c>
      <c r="C15" s="20">
        <f>[3]ARMM!B15</f>
        <v>411040.25579999998</v>
      </c>
      <c r="D15" s="21">
        <f>B15-C15</f>
        <v>64789.49006000004</v>
      </c>
      <c r="E15" s="21">
        <f>D15/C15*100</f>
        <v>15.762322338453558</v>
      </c>
      <c r="F15" s="21"/>
      <c r="G15" s="20"/>
      <c r="H15" s="21"/>
      <c r="I15" s="21"/>
      <c r="J15" s="21"/>
      <c r="K15" s="21"/>
      <c r="L15" s="20"/>
      <c r="M15" s="21"/>
      <c r="N15" s="21"/>
      <c r="O15" s="21"/>
      <c r="P15" s="21"/>
      <c r="Q15" s="22">
        <f>[4]FP!U5</f>
        <v>384516.73745000002</v>
      </c>
      <c r="R15" s="23">
        <v>381733.31452999997</v>
      </c>
      <c r="S15" s="23">
        <f>Q15-R15</f>
        <v>2783.4229200000409</v>
      </c>
      <c r="T15" s="21">
        <f>S15/R15*100</f>
        <v>0.7291537872263163</v>
      </c>
      <c r="U15" s="21"/>
      <c r="V15" s="20">
        <f>[5]FP!U5</f>
        <v>47873.533790000001</v>
      </c>
      <c r="W15" s="20">
        <f>[3]ARMM!V15</f>
        <v>43756.4087</v>
      </c>
      <c r="X15" s="21">
        <f t="shared" ref="X15:X20" si="0">V15-W15</f>
        <v>4117.1250900000014</v>
      </c>
      <c r="Y15" s="21">
        <f t="shared" ref="Y15:Y24" si="1">X15/W15*100</f>
        <v>9.4091933326328974</v>
      </c>
      <c r="Z15" s="21"/>
      <c r="AA15" s="20">
        <f>[6]FP!U5</f>
        <v>512402.63907999999</v>
      </c>
      <c r="AB15" s="20">
        <f>[3]ARMM!AA15</f>
        <v>439862.44502000004</v>
      </c>
      <c r="AC15" s="21">
        <f t="shared" ref="AC15:AC20" si="2">AA15-AB15</f>
        <v>72540.194059999951</v>
      </c>
      <c r="AD15" s="21">
        <f t="shared" ref="AD15:AD24" si="3">AC15/AB15*100</f>
        <v>16.491563415172131</v>
      </c>
      <c r="AE15" s="21"/>
      <c r="AF15" s="20">
        <f>[7]FP!U5</f>
        <v>353509.89116999996</v>
      </c>
      <c r="AG15" s="20">
        <f>[3]ARMM!AF15</f>
        <v>378371.13006</v>
      </c>
      <c r="AH15" s="20">
        <f t="shared" ref="AH15:AH20" si="4">AF15-AG15</f>
        <v>-24861.238890000037</v>
      </c>
      <c r="AI15" s="20">
        <f t="shared" ref="AI15:AI24" si="5">AH15/AG15*100</f>
        <v>-6.5705961461852755</v>
      </c>
      <c r="AJ15" s="21"/>
      <c r="AK15" s="21">
        <f>G15+B15+Q15+V15+AA15+AF15+L15</f>
        <v>1774132.5473499999</v>
      </c>
      <c r="AL15" s="21">
        <f>H15+C15+R15+W15+AB15+AG15+M15</f>
        <v>1654763.5541099999</v>
      </c>
      <c r="AM15" s="21">
        <f t="shared" ref="AM15:AM22" si="6">AK15-AL15</f>
        <v>119368.99323999998</v>
      </c>
      <c r="AN15" s="21">
        <f t="shared" ref="AN15:AN22" si="7">AM15/AL15*100</f>
        <v>7.2136585884743853</v>
      </c>
      <c r="AP15" s="24"/>
    </row>
    <row r="16" spans="1:42" ht="15" customHeight="1">
      <c r="A16" s="19" t="s">
        <v>17</v>
      </c>
      <c r="B16" s="20">
        <f>[2]FP!U6</f>
        <v>16475.350460000001</v>
      </c>
      <c r="C16" s="20">
        <f>[3]ARMM!B16</f>
        <v>15189.754659999999</v>
      </c>
      <c r="D16" s="21">
        <f t="shared" ref="D16:D24" si="8">B16-C16</f>
        <v>1285.5958000000028</v>
      </c>
      <c r="E16" s="21">
        <f t="shared" ref="E16:E24" si="9">D16/C16*100</f>
        <v>8.4635718533718762</v>
      </c>
      <c r="F16" s="21"/>
      <c r="G16" s="20"/>
      <c r="H16" s="21"/>
      <c r="I16" s="21"/>
      <c r="J16" s="21"/>
      <c r="K16" s="21"/>
      <c r="L16" s="20"/>
      <c r="M16" s="21"/>
      <c r="N16" s="21"/>
      <c r="O16" s="21"/>
      <c r="P16" s="21"/>
      <c r="Q16" s="22">
        <f>[4]FP!U6</f>
        <v>6920.6877999999997</v>
      </c>
      <c r="R16" s="23">
        <v>5333.9922100000003</v>
      </c>
      <c r="S16" s="23">
        <f t="shared" ref="S16:S24" si="10">Q16-R16</f>
        <v>1586.6955899999994</v>
      </c>
      <c r="T16" s="21">
        <f t="shared" ref="T16:T24" si="11">S16/R16*100</f>
        <v>29.746867403092804</v>
      </c>
      <c r="U16" s="21"/>
      <c r="V16" s="20">
        <f>[5]FP!U6</f>
        <v>1669.2568299999998</v>
      </c>
      <c r="W16" s="20">
        <f>[3]ARMM!V16</f>
        <v>1579.1342300000001</v>
      </c>
      <c r="X16" s="21">
        <f t="shared" si="0"/>
        <v>90.122599999999693</v>
      </c>
      <c r="Y16" s="21">
        <f t="shared" si="1"/>
        <v>5.7070892573837559</v>
      </c>
      <c r="Z16" s="21"/>
      <c r="AA16" s="20">
        <f>[6]FP!U6</f>
        <v>17013.64962</v>
      </c>
      <c r="AB16" s="20">
        <f>[3]ARMM!AA16</f>
        <v>15964.559010000001</v>
      </c>
      <c r="AC16" s="21">
        <f t="shared" si="2"/>
        <v>1049.0906099999993</v>
      </c>
      <c r="AD16" s="21">
        <f t="shared" si="3"/>
        <v>6.5713723087675771</v>
      </c>
      <c r="AE16" s="21"/>
      <c r="AF16" s="20">
        <f>[7]FP!U6</f>
        <v>13117.568760000002</v>
      </c>
      <c r="AG16" s="20">
        <f>[3]ARMM!AF16</f>
        <v>13392.449789999999</v>
      </c>
      <c r="AH16" s="20">
        <f t="shared" si="4"/>
        <v>-274.88102999999683</v>
      </c>
      <c r="AI16" s="20">
        <f t="shared" si="5"/>
        <v>-2.0525074524098468</v>
      </c>
      <c r="AJ16" s="21"/>
      <c r="AK16" s="21">
        <f t="shared" ref="AK16:AK26" si="12">G16+B16+Q16+V16+AA16+AF16+L16</f>
        <v>55196.513469999998</v>
      </c>
      <c r="AL16" s="21">
        <f>H16+C16+R16+W16+AB16+AG16+M16</f>
        <v>51459.889899999995</v>
      </c>
      <c r="AM16" s="21">
        <f t="shared" si="6"/>
        <v>3736.6235700000034</v>
      </c>
      <c r="AN16" s="21">
        <f t="shared" si="7"/>
        <v>7.2612350653319293</v>
      </c>
      <c r="AP16" s="24"/>
    </row>
    <row r="17" spans="1:42" ht="15" customHeight="1">
      <c r="A17" s="19" t="s">
        <v>18</v>
      </c>
      <c r="B17" s="20">
        <f>[2]FP!U7</f>
        <v>10707.882010000001</v>
      </c>
      <c r="C17" s="20">
        <f>[3]ARMM!B17</f>
        <v>9024.0939800000015</v>
      </c>
      <c r="D17" s="21">
        <f t="shared" si="8"/>
        <v>1683.7880299999997</v>
      </c>
      <c r="E17" s="21">
        <f t="shared" si="9"/>
        <v>18.658804238206741</v>
      </c>
      <c r="F17" s="21"/>
      <c r="G17" s="20"/>
      <c r="H17" s="21"/>
      <c r="I17" s="21"/>
      <c r="J17" s="21"/>
      <c r="K17" s="21"/>
      <c r="L17" s="20"/>
      <c r="M17" s="21"/>
      <c r="N17" s="21"/>
      <c r="O17" s="21"/>
      <c r="P17" s="21"/>
      <c r="Q17" s="22">
        <f>[4]FP!U7</f>
        <v>15811.2798</v>
      </c>
      <c r="R17" s="23">
        <f>+([8]zaneco!$P$7+[8]zaneco!$P$8)</f>
        <v>13843.64421</v>
      </c>
      <c r="S17" s="23">
        <f t="shared" si="10"/>
        <v>1967.6355899999999</v>
      </c>
      <c r="T17" s="21">
        <f t="shared" si="11"/>
        <v>14.213277661229345</v>
      </c>
      <c r="U17" s="21"/>
      <c r="V17" s="20">
        <f>[5]FP!U7</f>
        <v>1028.7909400000001</v>
      </c>
      <c r="W17" s="20">
        <f>[3]ARMM!V17</f>
        <v>913.95006000000012</v>
      </c>
      <c r="X17" s="21">
        <f t="shared" si="0"/>
        <v>114.84087999999997</v>
      </c>
      <c r="Y17" s="21">
        <f t="shared" si="1"/>
        <v>12.565334259073188</v>
      </c>
      <c r="Z17" s="21"/>
      <c r="AA17" s="20">
        <f>[6]FP!U7</f>
        <v>13994.25201</v>
      </c>
      <c r="AB17" s="20">
        <f>[3]ARMM!AA17</f>
        <v>9743.3546800000004</v>
      </c>
      <c r="AC17" s="21">
        <f t="shared" si="2"/>
        <v>4250.8973299999998</v>
      </c>
      <c r="AD17" s="21">
        <f t="shared" si="3"/>
        <v>43.628683031787155</v>
      </c>
      <c r="AE17" s="21"/>
      <c r="AF17" s="20">
        <f>[7]FP!U7</f>
        <v>8283.6760400000003</v>
      </c>
      <c r="AG17" s="20">
        <f>[3]ARMM!AF17</f>
        <v>7478.3966799999998</v>
      </c>
      <c r="AH17" s="20">
        <f t="shared" si="4"/>
        <v>805.27936000000045</v>
      </c>
      <c r="AI17" s="20">
        <f t="shared" si="5"/>
        <v>10.768074955874104</v>
      </c>
      <c r="AJ17" s="21"/>
      <c r="AK17" s="21">
        <f t="shared" si="12"/>
        <v>49825.880799999999</v>
      </c>
      <c r="AL17" s="21">
        <f>H17+C17+R17+W17+AB17+AG17+M17</f>
        <v>41003.439610000001</v>
      </c>
      <c r="AM17" s="21">
        <f t="shared" si="6"/>
        <v>8822.4411899999977</v>
      </c>
      <c r="AN17" s="21">
        <f t="shared" si="7"/>
        <v>21.516344174814943</v>
      </c>
    </row>
    <row r="18" spans="1:42" ht="15" customHeight="1">
      <c r="A18" s="25" t="s">
        <v>19</v>
      </c>
      <c r="B18" s="20">
        <f>[2]FP!U10</f>
        <v>51215.869260000007</v>
      </c>
      <c r="C18" s="20">
        <f>[3]ARMM!B18</f>
        <v>44404.122769999994</v>
      </c>
      <c r="D18" s="21">
        <f t="shared" si="8"/>
        <v>6811.7464900000123</v>
      </c>
      <c r="E18" s="21">
        <f t="shared" si="9"/>
        <v>15.340346943194467</v>
      </c>
      <c r="F18" s="21"/>
      <c r="G18" s="20"/>
      <c r="H18" s="21"/>
      <c r="I18" s="21"/>
      <c r="J18" s="21"/>
      <c r="K18" s="21"/>
      <c r="L18" s="20"/>
      <c r="M18" s="21"/>
      <c r="N18" s="21"/>
      <c r="O18" s="21"/>
      <c r="P18" s="21"/>
      <c r="Q18" s="22">
        <f>[4]FP!U10</f>
        <v>20037.012049999998</v>
      </c>
      <c r="R18" s="23">
        <v>21848.628239999998</v>
      </c>
      <c r="S18" s="23">
        <f t="shared" si="10"/>
        <v>-1811.6161900000006</v>
      </c>
      <c r="T18" s="21">
        <f t="shared" si="11"/>
        <v>-8.2916701684883485</v>
      </c>
      <c r="U18" s="21"/>
      <c r="V18" s="20">
        <f>[5]FP!U10</f>
        <v>4994.2332700000006</v>
      </c>
      <c r="W18" s="20">
        <f>[3]ARMM!V18</f>
        <v>4575.0125900000003</v>
      </c>
      <c r="X18" s="21">
        <f t="shared" si="0"/>
        <v>419.22068000000036</v>
      </c>
      <c r="Y18" s="21">
        <f t="shared" si="1"/>
        <v>9.1632683353992768</v>
      </c>
      <c r="Z18" s="21"/>
      <c r="AA18" s="20">
        <f>[6]FP!U10</f>
        <v>51121.8269</v>
      </c>
      <c r="AB18" s="20">
        <f>[3]ARMM!AA18</f>
        <v>44831.956599999998</v>
      </c>
      <c r="AC18" s="21">
        <f t="shared" si="2"/>
        <v>6289.8703000000023</v>
      </c>
      <c r="AD18" s="21">
        <f t="shared" si="3"/>
        <v>14.029881310154558</v>
      </c>
      <c r="AE18" s="21"/>
      <c r="AF18" s="20">
        <f>[7]FP!U10</f>
        <v>36528.814010000002</v>
      </c>
      <c r="AG18" s="26">
        <f>[3]ARMM!AF18</f>
        <v>39107.184759999996</v>
      </c>
      <c r="AH18" s="20">
        <f t="shared" si="4"/>
        <v>-2578.3707499999946</v>
      </c>
      <c r="AI18" s="20">
        <f t="shared" si="5"/>
        <v>-6.5930870908335741</v>
      </c>
      <c r="AJ18" s="21"/>
      <c r="AK18" s="21">
        <f t="shared" si="12"/>
        <v>163897.75549000001</v>
      </c>
      <c r="AL18" s="21">
        <f>H18+C18+R18+W18+AB18+AG18+M18</f>
        <v>154766.90495999999</v>
      </c>
      <c r="AM18" s="21">
        <f t="shared" si="6"/>
        <v>9130.8505300000252</v>
      </c>
      <c r="AN18" s="21">
        <f t="shared" si="7"/>
        <v>5.8997435739636481</v>
      </c>
      <c r="AO18" s="24"/>
      <c r="AP18" s="24"/>
    </row>
    <row r="19" spans="1:42" ht="15" customHeight="1">
      <c r="A19" s="19" t="s">
        <v>20</v>
      </c>
      <c r="B19" s="20">
        <f>[2]FP!U11</f>
        <v>0</v>
      </c>
      <c r="C19" s="20">
        <f>[3]ARMM!B19</f>
        <v>0</v>
      </c>
      <c r="D19" s="21">
        <f t="shared" si="8"/>
        <v>0</v>
      </c>
      <c r="E19" s="21"/>
      <c r="F19" s="21"/>
      <c r="G19" s="20"/>
      <c r="H19" s="21"/>
      <c r="I19" s="21"/>
      <c r="J19" s="21"/>
      <c r="K19" s="21"/>
      <c r="L19" s="20"/>
      <c r="M19" s="21"/>
      <c r="N19" s="21"/>
      <c r="O19" s="21"/>
      <c r="P19" s="21"/>
      <c r="Q19" s="22">
        <f>[4]FP!U11</f>
        <v>0</v>
      </c>
      <c r="R19" s="23">
        <v>0</v>
      </c>
      <c r="S19" s="23">
        <f t="shared" si="10"/>
        <v>0</v>
      </c>
      <c r="T19" s="21"/>
      <c r="U19" s="21"/>
      <c r="V19" s="20">
        <f>[5]FP!U11</f>
        <v>0</v>
      </c>
      <c r="W19" s="20">
        <f>[3]ARMM!V19</f>
        <v>0</v>
      </c>
      <c r="X19" s="21">
        <f t="shared" si="0"/>
        <v>0</v>
      </c>
      <c r="Y19" s="21"/>
      <c r="Z19" s="21"/>
      <c r="AA19" s="20">
        <f>[6]FP!U11</f>
        <v>0</v>
      </c>
      <c r="AB19" s="20">
        <f>[3]ARMM!AA19</f>
        <v>0</v>
      </c>
      <c r="AC19" s="21">
        <f t="shared" si="2"/>
        <v>0</v>
      </c>
      <c r="AD19" s="21"/>
      <c r="AE19" s="21"/>
      <c r="AF19" s="20">
        <f>[7]FP!U11</f>
        <v>0</v>
      </c>
      <c r="AG19" s="26">
        <f>[3]ARMM!AF19</f>
        <v>0</v>
      </c>
      <c r="AH19" s="20">
        <f t="shared" si="4"/>
        <v>0</v>
      </c>
      <c r="AI19" s="20"/>
      <c r="AJ19" s="21"/>
      <c r="AK19" s="21">
        <f t="shared" si="12"/>
        <v>0</v>
      </c>
      <c r="AL19" s="21">
        <f>H19+C19+R19+W19+AB19+AG19+M19</f>
        <v>0</v>
      </c>
      <c r="AM19" s="21">
        <f>AK19-AL19</f>
        <v>0</v>
      </c>
      <c r="AN19" s="21"/>
      <c r="AO19" s="24"/>
      <c r="AP19" s="24"/>
    </row>
    <row r="20" spans="1:42" ht="15" customHeight="1">
      <c r="A20" s="19" t="s">
        <v>21</v>
      </c>
      <c r="B20" s="20">
        <f>[2]FP!U12</f>
        <v>0</v>
      </c>
      <c r="C20" s="20">
        <f>[3]ARMM!B20</f>
        <v>0</v>
      </c>
      <c r="D20" s="21">
        <f t="shared" si="8"/>
        <v>0</v>
      </c>
      <c r="E20" s="21"/>
      <c r="F20" s="21"/>
      <c r="G20" s="20"/>
      <c r="H20" s="21"/>
      <c r="I20" s="21"/>
      <c r="J20" s="21"/>
      <c r="K20" s="21"/>
      <c r="L20" s="20"/>
      <c r="M20" s="21"/>
      <c r="N20" s="21"/>
      <c r="O20" s="21"/>
      <c r="P20" s="21"/>
      <c r="Q20" s="22">
        <f>[4]FP!U12</f>
        <v>0</v>
      </c>
      <c r="R20" s="23">
        <v>-131.01194000000007</v>
      </c>
      <c r="S20" s="23">
        <f t="shared" si="10"/>
        <v>131.01194000000007</v>
      </c>
      <c r="T20" s="21">
        <f t="shared" si="11"/>
        <v>-100</v>
      </c>
      <c r="U20" s="21"/>
      <c r="V20" s="20">
        <f>[5]FP!U12</f>
        <v>0</v>
      </c>
      <c r="W20" s="20">
        <f>[3]ARMM!V20</f>
        <v>0</v>
      </c>
      <c r="X20" s="21">
        <f t="shared" si="0"/>
        <v>0</v>
      </c>
      <c r="Y20" s="21"/>
      <c r="Z20" s="21"/>
      <c r="AA20" s="20">
        <f>[6]FP!U12</f>
        <v>0</v>
      </c>
      <c r="AB20" s="20">
        <f>[3]ARMM!AA20</f>
        <v>0</v>
      </c>
      <c r="AC20" s="21">
        <f t="shared" si="2"/>
        <v>0</v>
      </c>
      <c r="AD20" s="21"/>
      <c r="AE20" s="21"/>
      <c r="AF20" s="20">
        <f>[7]FP!U12</f>
        <v>0</v>
      </c>
      <c r="AG20" s="26">
        <f>[3]ARMM!AF20</f>
        <v>0</v>
      </c>
      <c r="AH20" s="20">
        <f t="shared" si="4"/>
        <v>0</v>
      </c>
      <c r="AI20" s="20"/>
      <c r="AJ20" s="21"/>
      <c r="AK20" s="21">
        <f t="shared" si="12"/>
        <v>0</v>
      </c>
      <c r="AL20" s="21">
        <f>H20+C20+R20+W20+AB20+AG20+M20</f>
        <v>-131.01194000000007</v>
      </c>
      <c r="AM20" s="21">
        <f>AK20-AL20</f>
        <v>131.01194000000007</v>
      </c>
      <c r="AN20" s="21">
        <f t="shared" si="7"/>
        <v>-100</v>
      </c>
      <c r="AO20" s="24"/>
      <c r="AP20" s="24"/>
    </row>
    <row r="21" spans="1:42" ht="15" customHeight="1">
      <c r="A21" s="19" t="s">
        <v>22</v>
      </c>
      <c r="B21" s="20">
        <f>B15-B16-B17-B18-B19-B20</f>
        <v>397430.64413000003</v>
      </c>
      <c r="C21" s="20">
        <f>[3]ARMM!B21</f>
        <v>342422.28438999999</v>
      </c>
      <c r="D21" s="21">
        <f t="shared" si="8"/>
        <v>55008.359740000044</v>
      </c>
      <c r="E21" s="21">
        <f t="shared" si="9"/>
        <v>16.064480101811533</v>
      </c>
      <c r="F21" s="21"/>
      <c r="G21" s="20"/>
      <c r="H21" s="21"/>
      <c r="I21" s="21"/>
      <c r="J21" s="21"/>
      <c r="K21" s="21"/>
      <c r="L21" s="20"/>
      <c r="M21" s="20"/>
      <c r="N21" s="21"/>
      <c r="O21" s="21"/>
      <c r="P21" s="21"/>
      <c r="Q21" s="22">
        <f>Q15-Q16-Q17-Q18-Q19-Q20</f>
        <v>341747.75779999996</v>
      </c>
      <c r="R21" s="22">
        <f>R15-R16-R17-R18-R19-R20</f>
        <v>340838.06180999998</v>
      </c>
      <c r="S21" s="23">
        <f t="shared" si="10"/>
        <v>909.69598999997834</v>
      </c>
      <c r="T21" s="21">
        <f t="shared" si="11"/>
        <v>0.26689976617314765</v>
      </c>
      <c r="U21" s="21"/>
      <c r="V21" s="20">
        <f>V15-V16-V17-V18-V19-V20</f>
        <v>40181.25275</v>
      </c>
      <c r="W21" s="20">
        <f>[3]ARMM!V21</f>
        <v>36688.311819999995</v>
      </c>
      <c r="X21" s="21">
        <f>V21-W21</f>
        <v>3492.9409300000043</v>
      </c>
      <c r="Y21" s="21">
        <f t="shared" si="1"/>
        <v>9.5205823237031257</v>
      </c>
      <c r="Z21" s="21"/>
      <c r="AA21" s="20">
        <f>AA15-AA16-AA17-AA18-AA19-AA20</f>
        <v>430272.91055000003</v>
      </c>
      <c r="AB21" s="20">
        <f>[3]ARMM!AA21</f>
        <v>369322.57473000005</v>
      </c>
      <c r="AC21" s="21">
        <f>AA21-AB21</f>
        <v>60950.335819999978</v>
      </c>
      <c r="AD21" s="21">
        <f t="shared" si="3"/>
        <v>16.503279244318826</v>
      </c>
      <c r="AE21" s="21"/>
      <c r="AF21" s="20">
        <f>AF15-AF16-AF17-AF18-AF19-AF20</f>
        <v>295579.83236</v>
      </c>
      <c r="AG21" s="20">
        <f>[3]ARMM!AF21</f>
        <v>318393.09883000003</v>
      </c>
      <c r="AH21" s="20">
        <f>AF21-AG21</f>
        <v>-22813.266470000031</v>
      </c>
      <c r="AI21" s="20">
        <f t="shared" si="5"/>
        <v>-7.1651259257289182</v>
      </c>
      <c r="AJ21" s="21"/>
      <c r="AK21" s="21">
        <f>AK15-AK16-AK17-AK18-AK19-AK20</f>
        <v>1505212.3975900002</v>
      </c>
      <c r="AL21" s="21">
        <f>AL15-AL16-AL17-AL18-AL19-AL20</f>
        <v>1407664.33158</v>
      </c>
      <c r="AM21" s="21">
        <f t="shared" si="6"/>
        <v>97548.066010000184</v>
      </c>
      <c r="AN21" s="21">
        <f t="shared" si="7"/>
        <v>6.9297817541849369</v>
      </c>
    </row>
    <row r="22" spans="1:42" ht="15" customHeight="1">
      <c r="A22" s="19" t="s">
        <v>23</v>
      </c>
      <c r="B22" s="20">
        <f>[2]FP!$U$14</f>
        <v>9687.6754599999986</v>
      </c>
      <c r="C22" s="20">
        <f>[3]ARMM!B22</f>
        <v>9066.3174600000002</v>
      </c>
      <c r="D22" s="21">
        <f t="shared" si="8"/>
        <v>621.35799999999836</v>
      </c>
      <c r="E22" s="21">
        <f t="shared" si="9"/>
        <v>6.8534771999920503</v>
      </c>
      <c r="F22" s="21"/>
      <c r="G22" s="20"/>
      <c r="H22" s="21"/>
      <c r="I22" s="21"/>
      <c r="J22" s="21"/>
      <c r="K22" s="21"/>
      <c r="L22" s="20"/>
      <c r="M22" s="21"/>
      <c r="N22" s="21"/>
      <c r="O22" s="21"/>
      <c r="P22" s="21"/>
      <c r="Q22" s="22">
        <f>[4]FP!$U$14</f>
        <v>414.12566000000004</v>
      </c>
      <c r="R22" s="23">
        <v>2759.2329900000004</v>
      </c>
      <c r="S22" s="23">
        <f t="shared" si="10"/>
        <v>-2345.1073300000003</v>
      </c>
      <c r="T22" s="21">
        <f t="shared" si="11"/>
        <v>-84.991276144462162</v>
      </c>
      <c r="U22" s="21"/>
      <c r="V22" s="20">
        <f>[5]FP!$U$14</f>
        <v>2991.1795499999998</v>
      </c>
      <c r="W22" s="20">
        <f>[3]ARMM!V22</f>
        <v>2576.2143100000003</v>
      </c>
      <c r="X22" s="21">
        <f>V22-W22</f>
        <v>414.96523999999954</v>
      </c>
      <c r="Y22" s="21">
        <f t="shared" si="1"/>
        <v>16.107559001952733</v>
      </c>
      <c r="Z22" s="21"/>
      <c r="AA22" s="20">
        <f>[6]FP!$U$14</f>
        <v>31307.558980000002</v>
      </c>
      <c r="AB22" s="20">
        <f>[3]ARMM!AA22</f>
        <v>33287.097689999995</v>
      </c>
      <c r="AC22" s="21">
        <f>AA22-AB22</f>
        <v>-1979.5387099999934</v>
      </c>
      <c r="AD22" s="21">
        <f t="shared" si="3"/>
        <v>-5.9468648436558658</v>
      </c>
      <c r="AE22" s="21"/>
      <c r="AF22" s="20">
        <f>[7]FP!$U$14</f>
        <v>10095.910620000001</v>
      </c>
      <c r="AG22" s="26">
        <f>[3]ARMM!AF22</f>
        <v>14956.61541</v>
      </c>
      <c r="AH22" s="20">
        <f>AF22-AG22</f>
        <v>-4860.7047899999998</v>
      </c>
      <c r="AI22" s="20">
        <f t="shared" si="5"/>
        <v>-32.498694769875073</v>
      </c>
      <c r="AJ22" s="21"/>
      <c r="AK22" s="21">
        <f t="shared" si="12"/>
        <v>54496.450270000001</v>
      </c>
      <c r="AL22" s="21">
        <f>H22+C22+R22+W22+AB22+AG22+M22</f>
        <v>62645.477859999999</v>
      </c>
      <c r="AM22" s="21">
        <f t="shared" si="6"/>
        <v>-8149.0275899999979</v>
      </c>
      <c r="AN22" s="21">
        <f t="shared" si="7"/>
        <v>-13.00816574216487</v>
      </c>
    </row>
    <row r="23" spans="1:42" ht="15" customHeight="1">
      <c r="A23" s="19" t="s">
        <v>24</v>
      </c>
      <c r="B23" s="20">
        <f>B21+B22</f>
        <v>407118.31959000003</v>
      </c>
      <c r="C23" s="20">
        <f>[3]ARMM!B23</f>
        <v>351488.60184999998</v>
      </c>
      <c r="D23" s="21">
        <f t="shared" si="8"/>
        <v>55629.717740000051</v>
      </c>
      <c r="E23" s="21">
        <f t="shared" si="9"/>
        <v>15.826890956691789</v>
      </c>
      <c r="F23" s="21"/>
      <c r="G23" s="20"/>
      <c r="H23" s="21"/>
      <c r="I23" s="21"/>
      <c r="J23" s="21"/>
      <c r="K23" s="21"/>
      <c r="L23" s="20"/>
      <c r="M23" s="20"/>
      <c r="N23" s="21"/>
      <c r="O23" s="21"/>
      <c r="P23" s="21"/>
      <c r="Q23" s="22">
        <f>Q21+Q22</f>
        <v>342161.88345999998</v>
      </c>
      <c r="R23" s="22">
        <f>R21+R22</f>
        <v>343597.29479999997</v>
      </c>
      <c r="S23" s="23">
        <f t="shared" si="10"/>
        <v>-1435.4113399999915</v>
      </c>
      <c r="T23" s="21">
        <f t="shared" si="11"/>
        <v>-0.41775979081427617</v>
      </c>
      <c r="U23" s="21"/>
      <c r="V23" s="20">
        <f>V21+V22</f>
        <v>43172.4323</v>
      </c>
      <c r="W23" s="20">
        <f>[3]ARMM!V23</f>
        <v>39264.526129999998</v>
      </c>
      <c r="X23" s="21">
        <f>V23-W23</f>
        <v>3907.906170000002</v>
      </c>
      <c r="Y23" s="21">
        <f t="shared" si="1"/>
        <v>9.9527653970950958</v>
      </c>
      <c r="Z23" s="21"/>
      <c r="AA23" s="20">
        <f>AA21+AA22</f>
        <v>461580.46953</v>
      </c>
      <c r="AB23" s="20">
        <f>[3]ARMM!AA23</f>
        <v>402609.67242000008</v>
      </c>
      <c r="AC23" s="21">
        <f>AA23-AB23</f>
        <v>58970.797109999927</v>
      </c>
      <c r="AD23" s="21">
        <f t="shared" si="3"/>
        <v>14.647138692803669</v>
      </c>
      <c r="AE23" s="21"/>
      <c r="AF23" s="20">
        <f>AF21+AF22</f>
        <v>305675.74297999998</v>
      </c>
      <c r="AG23" s="26">
        <f>[3]ARMM!AF23</f>
        <v>333349.71424000006</v>
      </c>
      <c r="AH23" s="20">
        <f>AF23-AG23</f>
        <v>-27673.971260000078</v>
      </c>
      <c r="AI23" s="20">
        <f t="shared" si="5"/>
        <v>-8.3017834057826096</v>
      </c>
      <c r="AJ23" s="21"/>
      <c r="AK23" s="21">
        <f>AK21+AK22</f>
        <v>1559708.8478600001</v>
      </c>
      <c r="AL23" s="21">
        <f>AL21+AL22</f>
        <v>1470309.80944</v>
      </c>
      <c r="AM23" s="21">
        <f>AK23-AL23</f>
        <v>89399.038420000114</v>
      </c>
      <c r="AN23" s="21">
        <f>AM23/AL23*100</f>
        <v>6.0802857905198708</v>
      </c>
    </row>
    <row r="24" spans="1:42" ht="15" customHeight="1">
      <c r="A24" s="19" t="s">
        <v>25</v>
      </c>
      <c r="B24" s="20">
        <f>[2]FP!$U$16</f>
        <v>363175.44947999995</v>
      </c>
      <c r="C24" s="20">
        <f>[3]ARMM!B24</f>
        <v>304081.19819999998</v>
      </c>
      <c r="D24" s="21">
        <f t="shared" si="8"/>
        <v>59094.251279999968</v>
      </c>
      <c r="E24" s="21">
        <f t="shared" si="9"/>
        <v>19.433707716822582</v>
      </c>
      <c r="F24" s="21"/>
      <c r="G24" s="20"/>
      <c r="H24" s="21"/>
      <c r="I24" s="21"/>
      <c r="J24" s="21"/>
      <c r="K24" s="21"/>
      <c r="L24" s="20"/>
      <c r="M24" s="21"/>
      <c r="N24" s="21"/>
      <c r="O24" s="21"/>
      <c r="P24" s="21"/>
      <c r="Q24" s="22">
        <f>[4]FP!$U$16</f>
        <v>475757.12507000001</v>
      </c>
      <c r="R24" s="23">
        <v>354040.23223999998</v>
      </c>
      <c r="S24" s="23">
        <f t="shared" si="10"/>
        <v>121716.89283000003</v>
      </c>
      <c r="T24" s="21">
        <f t="shared" si="11"/>
        <v>34.379395827389892</v>
      </c>
      <c r="U24" s="21"/>
      <c r="V24" s="20">
        <f>[5]FP!$U$16</f>
        <v>31171.484409999997</v>
      </c>
      <c r="W24" s="20">
        <f>[3]ARMM!V24</f>
        <v>27588.957449999998</v>
      </c>
      <c r="X24" s="21">
        <f>V24-W24</f>
        <v>3582.5269599999992</v>
      </c>
      <c r="Y24" s="21">
        <f t="shared" si="1"/>
        <v>12.985365490858733</v>
      </c>
      <c r="Z24" s="21"/>
      <c r="AA24" s="20">
        <f>[6]FP!$U$16</f>
        <v>384567.36018999998</v>
      </c>
      <c r="AB24" s="20">
        <f>[3]ARMM!AA24</f>
        <v>334856.75926999998</v>
      </c>
      <c r="AC24" s="21">
        <f>AA24-AB24</f>
        <v>49710.600919999997</v>
      </c>
      <c r="AD24" s="21">
        <f t="shared" si="3"/>
        <v>14.845332980098993</v>
      </c>
      <c r="AE24" s="21"/>
      <c r="AF24" s="20">
        <f>[7]FP!$U$16</f>
        <v>272543.97121999995</v>
      </c>
      <c r="AG24" s="26">
        <f>[3]ARMM!AF24</f>
        <v>240832.13475999999</v>
      </c>
      <c r="AH24" s="20">
        <f>AF24-AG24</f>
        <v>31711.836459999962</v>
      </c>
      <c r="AI24" s="20">
        <f t="shared" si="5"/>
        <v>13.167610083098847</v>
      </c>
      <c r="AJ24" s="21"/>
      <c r="AK24" s="21">
        <f t="shared" si="12"/>
        <v>1527215.3903699999</v>
      </c>
      <c r="AL24" s="21">
        <f>H24+C24+R24+W24+AB24+AG24+M24</f>
        <v>1261399.28192</v>
      </c>
      <c r="AM24" s="21">
        <f>AK24-AL24</f>
        <v>265816.10844999994</v>
      </c>
      <c r="AN24" s="21">
        <f>AM24/AL24*100</f>
        <v>21.073113982227433</v>
      </c>
      <c r="AP24" s="24"/>
    </row>
    <row r="25" spans="1:42" ht="15" customHeight="1">
      <c r="A25" s="19" t="s">
        <v>26</v>
      </c>
      <c r="B25" s="20">
        <f>ROUND((B24/B23*100),0)</f>
        <v>89</v>
      </c>
      <c r="C25" s="20">
        <f>[3]ARMM!B25</f>
        <v>87</v>
      </c>
      <c r="D25" s="27" t="s">
        <v>27</v>
      </c>
      <c r="E25" s="21">
        <f>B25-C25</f>
        <v>2</v>
      </c>
      <c r="F25" s="21"/>
      <c r="G25" s="20"/>
      <c r="H25" s="21"/>
      <c r="I25" s="27"/>
      <c r="J25" s="21"/>
      <c r="K25" s="21"/>
      <c r="L25" s="20"/>
      <c r="M25" s="20"/>
      <c r="N25" s="27"/>
      <c r="O25" s="21"/>
      <c r="P25" s="21"/>
      <c r="Q25" s="22">
        <f>ROUND((Q24/Q23*100),0)</f>
        <v>139</v>
      </c>
      <c r="R25" s="22">
        <f>ROUND((R24/R23*100),0)</f>
        <v>103</v>
      </c>
      <c r="S25" s="28" t="s">
        <v>27</v>
      </c>
      <c r="T25" s="21">
        <f>Q25-R25</f>
        <v>36</v>
      </c>
      <c r="U25" s="21"/>
      <c r="V25" s="20">
        <f>ROUND((V24/V23*100),0)</f>
        <v>72</v>
      </c>
      <c r="W25" s="20">
        <f>[3]ARMM!V25</f>
        <v>70</v>
      </c>
      <c r="X25" s="27" t="s">
        <v>27</v>
      </c>
      <c r="Y25" s="21">
        <f>V25-W25</f>
        <v>2</v>
      </c>
      <c r="Z25" s="21"/>
      <c r="AA25" s="20">
        <f>ROUND((AA24/AA23*100),0)</f>
        <v>83</v>
      </c>
      <c r="AB25" s="20">
        <f>[3]ARMM!AA25</f>
        <v>83</v>
      </c>
      <c r="AC25" s="27" t="s">
        <v>27</v>
      </c>
      <c r="AD25" s="21">
        <f>AA25-AB25</f>
        <v>0</v>
      </c>
      <c r="AE25" s="21"/>
      <c r="AF25" s="20">
        <f>ROUND((AF24/AF23*100),0)</f>
        <v>89</v>
      </c>
      <c r="AG25" s="26">
        <f>[3]ARMM!AF25</f>
        <v>72</v>
      </c>
      <c r="AH25" s="29" t="s">
        <v>27</v>
      </c>
      <c r="AI25" s="20">
        <f>AF25-AG25</f>
        <v>17</v>
      </c>
      <c r="AJ25" s="21"/>
      <c r="AK25" s="21">
        <f>ROUND((AK24/AK23*100),0)</f>
        <v>98</v>
      </c>
      <c r="AL25" s="21">
        <f>ROUND((AL24/AL23*100),0)</f>
        <v>86</v>
      </c>
      <c r="AM25" s="27" t="s">
        <v>27</v>
      </c>
      <c r="AN25" s="21">
        <f>AK25-AL25</f>
        <v>12</v>
      </c>
    </row>
    <row r="26" spans="1:42" ht="15" customHeight="1">
      <c r="A26" s="19" t="s">
        <v>28</v>
      </c>
      <c r="B26" s="20">
        <f>[2]FP!$U$18</f>
        <v>102214.67331</v>
      </c>
      <c r="C26" s="20">
        <f>[3]ARMM!B26</f>
        <v>122411.59858000001</v>
      </c>
      <c r="D26" s="21">
        <f>B26-C26</f>
        <v>-20196.925270000007</v>
      </c>
      <c r="E26" s="21">
        <f>D26/C26*100</f>
        <v>-16.499192481993976</v>
      </c>
      <c r="F26" s="21"/>
      <c r="G26" s="20"/>
      <c r="H26" s="21"/>
      <c r="I26" s="21"/>
      <c r="J26" s="21"/>
      <c r="K26" s="21"/>
      <c r="L26" s="20"/>
      <c r="M26" s="21"/>
      <c r="N26" s="21"/>
      <c r="O26" s="21"/>
      <c r="P26" s="21"/>
      <c r="Q26" s="22">
        <f>[4]FP!$U$18</f>
        <v>86964.632719999994</v>
      </c>
      <c r="R26" s="23">
        <v>69513.852249999996</v>
      </c>
      <c r="S26" s="23">
        <f>Q26-R26</f>
        <v>17450.780469999998</v>
      </c>
      <c r="T26" s="21">
        <f>S26/R26*100</f>
        <v>25.104033088599259</v>
      </c>
      <c r="U26" s="21"/>
      <c r="V26" s="20">
        <f>[5]FP!$U$18</f>
        <v>9513.0915000000005</v>
      </c>
      <c r="W26" s="20">
        <f>[3]ARMM!V26</f>
        <v>9035.8050199999998</v>
      </c>
      <c r="X26" s="21">
        <f>V26-W26</f>
        <v>477.28648000000067</v>
      </c>
      <c r="Y26" s="21">
        <f>X26/W26*100</f>
        <v>5.282168870881641</v>
      </c>
      <c r="Z26" s="21"/>
      <c r="AA26" s="20">
        <f>[6]FP!$U$18</f>
        <v>48658.212100000004</v>
      </c>
      <c r="AB26" s="20">
        <f>[3]ARMM!AA26</f>
        <v>41448.700239999998</v>
      </c>
      <c r="AC26" s="21">
        <f>AA26-AB26</f>
        <v>7209.511860000006</v>
      </c>
      <c r="AD26" s="21">
        <f>AC26/AB26*100</f>
        <v>17.393818909289894</v>
      </c>
      <c r="AE26" s="21"/>
      <c r="AF26" s="20">
        <f>[7]FP!$U$18</f>
        <v>31540.060210000003</v>
      </c>
      <c r="AG26" s="26">
        <f>[3]ARMM!AF26</f>
        <v>30283.549660000004</v>
      </c>
      <c r="AH26" s="20">
        <f>AF26-AG26</f>
        <v>1256.5105499999991</v>
      </c>
      <c r="AI26" s="20">
        <f>AH26/AG26*100</f>
        <v>4.1491521440092596</v>
      </c>
      <c r="AJ26" s="21"/>
      <c r="AK26" s="21">
        <f t="shared" si="12"/>
        <v>278890.66983999999</v>
      </c>
      <c r="AL26" s="21">
        <f>H26+C26+R26+W26+AB26+AG26+M26</f>
        <v>272693.50575000001</v>
      </c>
      <c r="AM26" s="21">
        <f>AK26-AL26</f>
        <v>6197.1640899999766</v>
      </c>
      <c r="AN26" s="21">
        <f>AM26/AL26*100</f>
        <v>2.272574872274888</v>
      </c>
      <c r="AP26" s="24"/>
    </row>
    <row r="27" spans="1:42" ht="15" customHeight="1">
      <c r="A27" s="19" t="s">
        <v>26</v>
      </c>
      <c r="B27" s="20">
        <f>ROUND((B26/B23*100),0)</f>
        <v>25</v>
      </c>
      <c r="C27" s="20">
        <f>[3]ARMM!B27</f>
        <v>35</v>
      </c>
      <c r="D27" s="21"/>
      <c r="E27" s="21">
        <f>B27-C27</f>
        <v>-10</v>
      </c>
      <c r="F27" s="21"/>
      <c r="G27" s="20"/>
      <c r="H27" s="21"/>
      <c r="I27" s="21"/>
      <c r="J27" s="21"/>
      <c r="K27" s="21"/>
      <c r="L27" s="20"/>
      <c r="M27" s="20"/>
      <c r="N27" s="21"/>
      <c r="O27" s="21"/>
      <c r="P27" s="21"/>
      <c r="Q27" s="22">
        <f>ROUND((Q26/Q23*100),0)</f>
        <v>25</v>
      </c>
      <c r="R27" s="22">
        <f>ROUND((R26/R23*100),0)</f>
        <v>20</v>
      </c>
      <c r="S27" s="23"/>
      <c r="T27" s="21">
        <f>Q27-R27</f>
        <v>5</v>
      </c>
      <c r="U27" s="21"/>
      <c r="V27" s="20">
        <f>ROUND((V26/V23*100),0)</f>
        <v>22</v>
      </c>
      <c r="W27" s="20">
        <f>[3]ARMM!V27</f>
        <v>23</v>
      </c>
      <c r="X27" s="21"/>
      <c r="Y27" s="21">
        <f>V27-W27</f>
        <v>-1</v>
      </c>
      <c r="Z27" s="21"/>
      <c r="AA27" s="20">
        <f>ROUND((AA26/AA23*100),0)</f>
        <v>11</v>
      </c>
      <c r="AB27" s="20">
        <f>[3]ARMM!AA27</f>
        <v>10</v>
      </c>
      <c r="AC27" s="21"/>
      <c r="AD27" s="21">
        <f>AA27-AB27</f>
        <v>1</v>
      </c>
      <c r="AE27" s="21"/>
      <c r="AF27" s="20">
        <f>ROUND((AF26/AF23*100),0)</f>
        <v>10</v>
      </c>
      <c r="AG27" s="26">
        <f>[3]ARMM!AF27</f>
        <v>9</v>
      </c>
      <c r="AH27" s="20"/>
      <c r="AI27" s="20">
        <f>AF27-AG27</f>
        <v>1</v>
      </c>
      <c r="AJ27" s="21"/>
      <c r="AK27" s="21">
        <f>ROUND((AK26/AK23*100),0)</f>
        <v>18</v>
      </c>
      <c r="AL27" s="21">
        <f>ROUND((AL26/AL23*100),0)</f>
        <v>19</v>
      </c>
      <c r="AM27" s="21"/>
      <c r="AN27" s="21">
        <f>AK27-AL27</f>
        <v>-1</v>
      </c>
      <c r="AP27" s="30"/>
    </row>
    <row r="28" spans="1:42" ht="15" customHeight="1">
      <c r="A28" s="19" t="s">
        <v>29</v>
      </c>
      <c r="B28" s="20">
        <f>B23-B24-B26</f>
        <v>-58271.803199999922</v>
      </c>
      <c r="C28" s="20">
        <f>[3]ARMM!B28</f>
        <v>-75004.194930000012</v>
      </c>
      <c r="D28" s="21">
        <f>B28-C28</f>
        <v>16732.39173000009</v>
      </c>
      <c r="E28" s="21">
        <f>D28/C28*100</f>
        <v>-22.308607866021511</v>
      </c>
      <c r="F28" s="21"/>
      <c r="G28" s="20"/>
      <c r="H28" s="21"/>
      <c r="I28" s="21"/>
      <c r="J28" s="21"/>
      <c r="K28" s="21"/>
      <c r="L28" s="20"/>
      <c r="M28" s="20"/>
      <c r="N28" s="21"/>
      <c r="O28" s="21"/>
      <c r="P28" s="21"/>
      <c r="Q28" s="22">
        <f>Q23-Q24-Q26</f>
        <v>-220559.87433000002</v>
      </c>
      <c r="R28" s="22">
        <f>R23-R24-R26</f>
        <v>-79956.789690000005</v>
      </c>
      <c r="S28" s="23">
        <f>Q28-R28</f>
        <v>-140603.08464000002</v>
      </c>
      <c r="T28" s="21">
        <f>S28/R28*100</f>
        <v>175.84883683440944</v>
      </c>
      <c r="U28" s="21"/>
      <c r="V28" s="20">
        <f>V23-V24-V26</f>
        <v>2487.8563900000026</v>
      </c>
      <c r="W28" s="20">
        <f>[3]ARMM!V28</f>
        <v>2639.7636600000005</v>
      </c>
      <c r="X28" s="21">
        <f>V28-W28</f>
        <v>-151.90726999999788</v>
      </c>
      <c r="Y28" s="21">
        <f>X28/W28*100</f>
        <v>-5.7545784231304191</v>
      </c>
      <c r="Z28" s="21"/>
      <c r="AA28" s="20">
        <f>AA23-AA24-AA26</f>
        <v>28354.89724000002</v>
      </c>
      <c r="AB28" s="20">
        <f>[3]ARMM!AA28</f>
        <v>26304.212910000097</v>
      </c>
      <c r="AC28" s="21">
        <f>AA28-AB28</f>
        <v>2050.6843299999236</v>
      </c>
      <c r="AD28" s="21">
        <f>AC28/AB28*100</f>
        <v>7.7960300010357395</v>
      </c>
      <c r="AE28" s="21"/>
      <c r="AF28" s="20">
        <f>AF23-AF24-AF26</f>
        <v>1591.7115500000291</v>
      </c>
      <c r="AG28" s="26">
        <f>[3]ARMM!AF28</f>
        <v>62234.029820000069</v>
      </c>
      <c r="AH28" s="20">
        <f>AF28-AG28</f>
        <v>-60642.31827000004</v>
      </c>
      <c r="AI28" s="20">
        <f>AH28/AG28*100</f>
        <v>-97.442377498928252</v>
      </c>
      <c r="AJ28" s="21"/>
      <c r="AK28" s="21">
        <f>AK23-AK24-AK26</f>
        <v>-246397.21234999981</v>
      </c>
      <c r="AL28" s="21">
        <f>AL23-AL24-AL26</f>
        <v>-63782.978230000008</v>
      </c>
      <c r="AM28" s="21">
        <f>AK28-AL28</f>
        <v>-182614.2341199998</v>
      </c>
      <c r="AN28" s="21">
        <f>AM28/AL28*100</f>
        <v>286.30559310275061</v>
      </c>
      <c r="AP28" s="24"/>
    </row>
    <row r="29" spans="1:42" ht="15" customHeight="1">
      <c r="A29" s="19" t="s">
        <v>30</v>
      </c>
      <c r="B29" s="20">
        <f>[2]FP!U21</f>
        <v>2467.8580400000001</v>
      </c>
      <c r="C29" s="20">
        <f>[3]ARMM!B29</f>
        <v>32829.586499999998</v>
      </c>
      <c r="D29" s="21">
        <f>B29-C29</f>
        <v>-30361.728459999998</v>
      </c>
      <c r="E29" s="21">
        <f>D29/C29*100</f>
        <v>-92.482823260658492</v>
      </c>
      <c r="F29" s="21"/>
      <c r="G29" s="20"/>
      <c r="H29" s="21"/>
      <c r="I29" s="21"/>
      <c r="J29" s="21"/>
      <c r="K29" s="21"/>
      <c r="L29" s="20"/>
      <c r="M29" s="21"/>
      <c r="N29" s="21"/>
      <c r="O29" s="21"/>
      <c r="P29" s="21"/>
      <c r="Q29" s="22">
        <f>[4]FP!U21</f>
        <v>12177.787340000001</v>
      </c>
      <c r="R29" s="23">
        <v>11496.292030000001</v>
      </c>
      <c r="S29" s="23">
        <f>Q29-R29</f>
        <v>681.49531000000025</v>
      </c>
      <c r="T29" s="21">
        <f>S29/R29*100</f>
        <v>5.9279575381489344</v>
      </c>
      <c r="U29" s="21"/>
      <c r="V29" s="20">
        <f>[5]FP!U21</f>
        <v>467.24647999999996</v>
      </c>
      <c r="W29" s="20">
        <f>[3]ARMM!V29</f>
        <v>28.019640000000003</v>
      </c>
      <c r="X29" s="21">
        <f>V29-W29</f>
        <v>439.22683999999998</v>
      </c>
      <c r="Y29" s="21">
        <f>X29/W29*100</f>
        <v>1567.5677489075517</v>
      </c>
      <c r="Z29" s="21"/>
      <c r="AA29" s="20">
        <f>[6]FP!U21</f>
        <v>27814.572479999995</v>
      </c>
      <c r="AB29" s="20">
        <f>[3]ARMM!AA29</f>
        <v>24158.679899999999</v>
      </c>
      <c r="AC29" s="21">
        <f>AA29-AB29</f>
        <v>3655.8925799999961</v>
      </c>
      <c r="AD29" s="21">
        <f>AC29/AB29*100</f>
        <v>15.132832568388791</v>
      </c>
      <c r="AE29" s="21"/>
      <c r="AF29" s="20">
        <f>[7]FP!U21</f>
        <v>6937.4617800000005</v>
      </c>
      <c r="AG29" s="26">
        <f>[3]ARMM!AF29</f>
        <v>6264.0225699999992</v>
      </c>
      <c r="AH29" s="20">
        <f>AF29-AG29</f>
        <v>673.43921000000137</v>
      </c>
      <c r="AI29" s="20">
        <f>AH29/AG29*100</f>
        <v>10.750906505753562</v>
      </c>
      <c r="AJ29" s="21"/>
      <c r="AK29" s="21">
        <f>G29+B29+Q29+V29+AA29+AF29+L29</f>
        <v>49864.926119999996</v>
      </c>
      <c r="AL29" s="21">
        <f>H29+C29+R29+W29+AB29+AG29+M29</f>
        <v>74776.600640000004</v>
      </c>
      <c r="AM29" s="21">
        <f>AK29-AL29</f>
        <v>-24911.674520000008</v>
      </c>
      <c r="AN29" s="21">
        <f>AM29/AL29*100</f>
        <v>-33.314799424934122</v>
      </c>
      <c r="AP29" s="24"/>
    </row>
    <row r="30" spans="1:42" ht="15" customHeight="1">
      <c r="A30" s="19" t="s">
        <v>31</v>
      </c>
      <c r="B30" s="20">
        <f>[2]FP!U22</f>
        <v>2236.2650000000003</v>
      </c>
      <c r="C30" s="20">
        <f>[3]ARMM!B30</f>
        <v>1157.0859999999998</v>
      </c>
      <c r="D30" s="21">
        <f>B30-C30</f>
        <v>1079.1790000000005</v>
      </c>
      <c r="E30" s="21">
        <f>D30/C30*100</f>
        <v>93.266965463241348</v>
      </c>
      <c r="F30" s="21"/>
      <c r="G30" s="20"/>
      <c r="H30" s="21"/>
      <c r="I30" s="21"/>
      <c r="J30" s="21"/>
      <c r="K30" s="21"/>
      <c r="L30" s="20"/>
      <c r="M30" s="21"/>
      <c r="N30" s="21"/>
      <c r="O30" s="21"/>
      <c r="P30" s="21"/>
      <c r="Q30" s="22">
        <f>[4]FP!U22</f>
        <v>0</v>
      </c>
      <c r="R30" s="23">
        <v>0</v>
      </c>
      <c r="S30" s="23">
        <f>Q30-R30</f>
        <v>0</v>
      </c>
      <c r="T30" s="21"/>
      <c r="U30" s="21"/>
      <c r="V30" s="20">
        <f>[5]FP!U22</f>
        <v>0</v>
      </c>
      <c r="W30" s="20">
        <f>[3]ARMM!V30</f>
        <v>0</v>
      </c>
      <c r="X30" s="21">
        <v>0</v>
      </c>
      <c r="Y30" s="21"/>
      <c r="Z30" s="21"/>
      <c r="AA30" s="20">
        <f>[6]FP!U22</f>
        <v>721.55400000000009</v>
      </c>
      <c r="AB30" s="20">
        <f>[3]ARMM!AA30</f>
        <v>807.82600000000002</v>
      </c>
      <c r="AC30" s="21">
        <f>AA30-AB30</f>
        <v>-86.271999999999935</v>
      </c>
      <c r="AD30" s="21">
        <f>AC30/AB30*100</f>
        <v>-10.679527522015871</v>
      </c>
      <c r="AE30" s="21"/>
      <c r="AF30" s="20">
        <f>[7]FP!U22</f>
        <v>81342.522920000003</v>
      </c>
      <c r="AG30" s="26">
        <f>[3]ARMM!AF30</f>
        <v>73776.228589999999</v>
      </c>
      <c r="AH30" s="20">
        <f>AF30-AG30</f>
        <v>7566.2943300000043</v>
      </c>
      <c r="AI30" s="20">
        <f>AH30/AG30*100</f>
        <v>10.255734773389566</v>
      </c>
      <c r="AJ30" s="21"/>
      <c r="AK30" s="21">
        <f>G30+B30+Q30+V30+AA30+AF30+L30</f>
        <v>84300.341920000006</v>
      </c>
      <c r="AL30" s="21">
        <f>H30+C30+R30+W30+AB30+AG30+M30</f>
        <v>75741.140589999995</v>
      </c>
      <c r="AM30" s="21">
        <f>AK30-AL30</f>
        <v>8559.2013300000108</v>
      </c>
      <c r="AN30" s="21">
        <f>AM30/AL30*100</f>
        <v>11.300597354788279</v>
      </c>
      <c r="AP30" s="24"/>
    </row>
    <row r="31" spans="1:42" ht="15" customHeight="1">
      <c r="A31" s="19" t="s">
        <v>32</v>
      </c>
      <c r="B31" s="20">
        <f>B28-B29-B30</f>
        <v>-62975.926239999921</v>
      </c>
      <c r="C31" s="20">
        <f>[3]ARMM!B31</f>
        <v>-108990.86743</v>
      </c>
      <c r="D31" s="21">
        <f>B31-C31</f>
        <v>46014.941190000078</v>
      </c>
      <c r="E31" s="21">
        <f>D31/C31*100</f>
        <v>-42.219079703676485</v>
      </c>
      <c r="F31" s="21"/>
      <c r="G31" s="20"/>
      <c r="H31" s="21"/>
      <c r="I31" s="21"/>
      <c r="J31" s="21"/>
      <c r="K31" s="21"/>
      <c r="L31" s="20"/>
      <c r="M31" s="20"/>
      <c r="N31" s="21"/>
      <c r="O31" s="21"/>
      <c r="P31" s="21"/>
      <c r="Q31" s="22">
        <f>Q28-Q29-Q30</f>
        <v>-232737.66167000003</v>
      </c>
      <c r="R31" s="22">
        <f>R28-R29-R30</f>
        <v>-91453.081720000002</v>
      </c>
      <c r="S31" s="23">
        <f>Q31-R31</f>
        <v>-141284.57995000004</v>
      </c>
      <c r="T31" s="21">
        <f>S31/R31*100</f>
        <v>154.48859381531625</v>
      </c>
      <c r="U31" s="21"/>
      <c r="V31" s="20">
        <f>V28-V29-V30</f>
        <v>2020.6099100000026</v>
      </c>
      <c r="W31" s="20">
        <f>[3]ARMM!V31</f>
        <v>2611.7440200000005</v>
      </c>
      <c r="X31" s="21">
        <f>V31-W31</f>
        <v>-591.13410999999792</v>
      </c>
      <c r="Y31" s="21">
        <f>X31/W31*100</f>
        <v>-22.633692485682335</v>
      </c>
      <c r="Z31" s="21"/>
      <c r="AA31" s="20">
        <f>AA28-AA29-AA30</f>
        <v>-181.22923999997511</v>
      </c>
      <c r="AB31" s="20">
        <f>[3]ARMM!AA31</f>
        <v>1337.7070100000974</v>
      </c>
      <c r="AC31" s="21">
        <f>AA31-AB31</f>
        <v>-1518.9362500000725</v>
      </c>
      <c r="AD31" s="21">
        <f>AC31/AB31*100</f>
        <v>-113.54775288199784</v>
      </c>
      <c r="AE31" s="21"/>
      <c r="AF31" s="20">
        <f>AF28-AF29-AF30</f>
        <v>-86688.273149999979</v>
      </c>
      <c r="AG31" s="26">
        <f>[3]ARMM!AF31</f>
        <v>-17806.221339999931</v>
      </c>
      <c r="AH31" s="20">
        <f>AF31-AG31</f>
        <v>-68882.051810000048</v>
      </c>
      <c r="AI31" s="20">
        <f>AH31/AG31*100</f>
        <v>386.842612448399</v>
      </c>
      <c r="AJ31" s="21"/>
      <c r="AK31" s="21">
        <f>AK28-AK29-AK30</f>
        <v>-380562.48038999981</v>
      </c>
      <c r="AL31" s="21">
        <f>AL28-AL29-AL30</f>
        <v>-214300.71946000002</v>
      </c>
      <c r="AM31" s="21">
        <f>AK31-AL31</f>
        <v>-166261.76092999979</v>
      </c>
      <c r="AN31" s="21">
        <f>AM31/AL31*100</f>
        <v>77.583389056719028</v>
      </c>
    </row>
    <row r="32" spans="1:42" ht="15" customHeight="1">
      <c r="A32" s="19" t="s">
        <v>26</v>
      </c>
      <c r="B32" s="20">
        <f>ROUND((B31/B23*100),0)</f>
        <v>-15</v>
      </c>
      <c r="C32" s="20">
        <f>[3]ARMM!B32</f>
        <v>-31</v>
      </c>
      <c r="D32" s="21"/>
      <c r="E32" s="21">
        <f>B32-C32</f>
        <v>16</v>
      </c>
      <c r="F32" s="21"/>
      <c r="G32" s="20"/>
      <c r="H32" s="21"/>
      <c r="I32" s="21"/>
      <c r="J32" s="21"/>
      <c r="K32" s="21"/>
      <c r="L32" s="20"/>
      <c r="M32" s="20"/>
      <c r="N32" s="21"/>
      <c r="O32" s="21"/>
      <c r="P32" s="21"/>
      <c r="Q32" s="22">
        <f>ROUND((Q31/Q23*100),0)</f>
        <v>-68</v>
      </c>
      <c r="R32" s="22">
        <f>ROUND((R31/R23*100),0)</f>
        <v>-27</v>
      </c>
      <c r="S32" s="23"/>
      <c r="T32" s="21">
        <f>Q32-R32</f>
        <v>-41</v>
      </c>
      <c r="U32" s="21"/>
      <c r="V32" s="20">
        <f>ROUND((V31/V23*100),0)</f>
        <v>5</v>
      </c>
      <c r="W32" s="20">
        <f>[3]ARMM!V32</f>
        <v>7</v>
      </c>
      <c r="X32" s="21"/>
      <c r="Y32" s="21">
        <f>V32-W32</f>
        <v>-2</v>
      </c>
      <c r="Z32" s="21"/>
      <c r="AA32" s="20">
        <f>ROUND((AA31/AA23*100),0)</f>
        <v>0</v>
      </c>
      <c r="AB32" s="20">
        <f>[3]ARMM!AA32</f>
        <v>0</v>
      </c>
      <c r="AC32" s="21"/>
      <c r="AD32" s="21">
        <f>AA32-AB32</f>
        <v>0</v>
      </c>
      <c r="AE32" s="21"/>
      <c r="AF32" s="20">
        <f>ROUND((AF31/AF23*100),0)</f>
        <v>-28</v>
      </c>
      <c r="AG32" s="26">
        <f>[3]ARMM!AF32</f>
        <v>-5</v>
      </c>
      <c r="AH32" s="20"/>
      <c r="AI32" s="20">
        <f>AF32-AG32</f>
        <v>-23</v>
      </c>
      <c r="AJ32" s="21"/>
      <c r="AK32" s="21">
        <f>ROUND((AK31/AK23*100),0)</f>
        <v>-24</v>
      </c>
      <c r="AL32" s="21">
        <f>ROUND((AL31/AL23*100),0)</f>
        <v>-15</v>
      </c>
      <c r="AM32" s="21"/>
      <c r="AN32" s="21">
        <f>AK32-AL32</f>
        <v>-9</v>
      </c>
    </row>
    <row r="33" spans="1:44" ht="15" customHeight="1">
      <c r="A33" s="19" t="s">
        <v>33</v>
      </c>
      <c r="B33" s="20">
        <f>[2]FP!$U$25</f>
        <v>0</v>
      </c>
      <c r="C33" s="20">
        <f>[3]ARMM!B33</f>
        <v>0</v>
      </c>
      <c r="D33" s="21">
        <f>B33-C33</f>
        <v>0</v>
      </c>
      <c r="E33" s="21">
        <f>B33-C33</f>
        <v>0</v>
      </c>
      <c r="F33" s="21"/>
      <c r="G33" s="20"/>
      <c r="H33" s="21"/>
      <c r="I33" s="21"/>
      <c r="J33" s="21"/>
      <c r="K33" s="21"/>
      <c r="L33" s="20"/>
      <c r="M33" s="20"/>
      <c r="N33" s="21"/>
      <c r="O33" s="21"/>
      <c r="P33" s="21"/>
      <c r="Q33" s="22">
        <f>[4]FP!$U$25</f>
        <v>7.9496200000000004</v>
      </c>
      <c r="R33" s="23">
        <v>109.17544000000001</v>
      </c>
      <c r="S33" s="23">
        <f>Q33-R33</f>
        <v>-101.22582000000001</v>
      </c>
      <c r="T33" s="21">
        <f>Q33-R33</f>
        <v>-101.22582000000001</v>
      </c>
      <c r="U33" s="21"/>
      <c r="V33" s="20">
        <f>[5]FP!$U$25</f>
        <v>0</v>
      </c>
      <c r="W33" s="20">
        <f>[3]ARMM!V33</f>
        <v>0</v>
      </c>
      <c r="X33" s="21">
        <f>V33-W33</f>
        <v>0</v>
      </c>
      <c r="Y33" s="21">
        <f>V33-W33</f>
        <v>0</v>
      </c>
      <c r="Z33" s="21"/>
      <c r="AA33" s="20">
        <f>[6]FP!$U$25</f>
        <v>0</v>
      </c>
      <c r="AB33" s="20">
        <f>[3]ARMM!AA33</f>
        <v>1047.6436899999999</v>
      </c>
      <c r="AC33" s="21">
        <f>AA33-AB33</f>
        <v>-1047.6436899999999</v>
      </c>
      <c r="AD33" s="21">
        <f>AA33-AB33</f>
        <v>-1047.6436899999999</v>
      </c>
      <c r="AE33" s="21"/>
      <c r="AF33" s="20">
        <f>[7]FP!$U$25</f>
        <v>0</v>
      </c>
      <c r="AG33" s="26">
        <f>[3]ARMM!AF33</f>
        <v>0</v>
      </c>
      <c r="AH33" s="20">
        <f>AF33-AG33</f>
        <v>0</v>
      </c>
      <c r="AI33" s="20">
        <f>AF33-AG33</f>
        <v>0</v>
      </c>
      <c r="AJ33" s="21"/>
      <c r="AK33" s="21">
        <f>G33+B33+Q33+V33+AA33+AF33+L33</f>
        <v>7.9496200000000004</v>
      </c>
      <c r="AL33" s="21">
        <f>H33+C33+R33+W33+AB33+AG33+M33</f>
        <v>1156.8191299999999</v>
      </c>
      <c r="AM33" s="21">
        <f>AK33-AL33</f>
        <v>-1148.8695099999998</v>
      </c>
      <c r="AN33" s="21">
        <f>AK33-AL33</f>
        <v>-1148.8695099999998</v>
      </c>
      <c r="AP33" s="24"/>
    </row>
    <row r="34" spans="1:44" ht="15" customHeight="1">
      <c r="A34" s="19" t="s">
        <v>34</v>
      </c>
      <c r="B34" s="20">
        <f>B31-B33</f>
        <v>-62975.926239999921</v>
      </c>
      <c r="C34" s="20">
        <f>[3]ARMM!B34</f>
        <v>-108990.86743</v>
      </c>
      <c r="D34" s="21">
        <f>B34-C34</f>
        <v>46014.941190000078</v>
      </c>
      <c r="E34" s="21">
        <f>D34/C34*100</f>
        <v>-42.219079703676485</v>
      </c>
      <c r="F34" s="21"/>
      <c r="G34" s="20"/>
      <c r="H34" s="21"/>
      <c r="I34" s="21"/>
      <c r="J34" s="21"/>
      <c r="K34" s="21"/>
      <c r="L34" s="20"/>
      <c r="M34" s="20"/>
      <c r="N34" s="21"/>
      <c r="O34" s="21"/>
      <c r="P34" s="21"/>
      <c r="Q34" s="22">
        <f>Q31-Q33</f>
        <v>-232745.61129000003</v>
      </c>
      <c r="R34" s="22">
        <f>R31-R33</f>
        <v>-91562.257160000008</v>
      </c>
      <c r="S34" s="23">
        <f>Q34-R34</f>
        <v>-141183.35413000002</v>
      </c>
      <c r="T34" s="21">
        <f>S34/R34*100</f>
        <v>154.19383325521332</v>
      </c>
      <c r="U34" s="21"/>
      <c r="V34" s="20">
        <f>V31-V33</f>
        <v>2020.6099100000026</v>
      </c>
      <c r="W34" s="20">
        <f>[3]ARMM!V34</f>
        <v>2611.7440200000005</v>
      </c>
      <c r="X34" s="21">
        <f>V34-W34</f>
        <v>-591.13410999999792</v>
      </c>
      <c r="Y34" s="21">
        <f>X34/W34*100</f>
        <v>-22.633692485682335</v>
      </c>
      <c r="Z34" s="21"/>
      <c r="AA34" s="20">
        <f>AA31-AA33</f>
        <v>-181.22923999997511</v>
      </c>
      <c r="AB34" s="20">
        <f>[3]ARMM!AA34</f>
        <v>290.06332000009752</v>
      </c>
      <c r="AC34" s="21">
        <f>AA34-AB34</f>
        <v>-471.29256000007263</v>
      </c>
      <c r="AD34" s="21">
        <f>AC34/AB34*100</f>
        <v>-162.47919936926672</v>
      </c>
      <c r="AE34" s="21"/>
      <c r="AF34" s="20">
        <f>AF31-AF33</f>
        <v>-86688.273149999979</v>
      </c>
      <c r="AG34" s="26">
        <f>[3]ARMM!AF34</f>
        <v>-17806.221339999931</v>
      </c>
      <c r="AH34" s="20">
        <f>AF34-AG34</f>
        <v>-68882.051810000048</v>
      </c>
      <c r="AI34" s="20">
        <f>AH34/AG34*100</f>
        <v>386.842612448399</v>
      </c>
      <c r="AJ34" s="21"/>
      <c r="AK34" s="21">
        <f>AK31-AK33</f>
        <v>-380570.43000999984</v>
      </c>
      <c r="AL34" s="21">
        <f>AL31-AL33</f>
        <v>-215457.53859000001</v>
      </c>
      <c r="AM34" s="21">
        <f>AK34-AL34</f>
        <v>-165112.89141999983</v>
      </c>
      <c r="AN34" s="21">
        <f>AM34/AL34*100</f>
        <v>76.633610733944948</v>
      </c>
      <c r="AP34" s="24"/>
    </row>
    <row r="35" spans="1:44" ht="15" customHeight="1">
      <c r="A35" s="19" t="s">
        <v>26</v>
      </c>
      <c r="B35" s="20">
        <f>ROUND((B34/B23*100),0)</f>
        <v>-15</v>
      </c>
      <c r="C35" s="20">
        <f>[3]ARMM!B35</f>
        <v>-31</v>
      </c>
      <c r="D35" s="21"/>
      <c r="E35" s="21">
        <f>B35-C35</f>
        <v>16</v>
      </c>
      <c r="F35" s="21"/>
      <c r="G35" s="20"/>
      <c r="H35" s="21"/>
      <c r="I35" s="21"/>
      <c r="J35" s="21"/>
      <c r="K35" s="21"/>
      <c r="L35" s="20"/>
      <c r="M35" s="20"/>
      <c r="N35" s="21"/>
      <c r="O35" s="21"/>
      <c r="P35" s="21"/>
      <c r="Q35" s="22">
        <f>ROUND((Q34/Q23*100),0)</f>
        <v>-68</v>
      </c>
      <c r="R35" s="22">
        <f>ROUND((R34/R23*100),0)</f>
        <v>-27</v>
      </c>
      <c r="S35" s="23"/>
      <c r="T35" s="21">
        <f>Q35-R35</f>
        <v>-41</v>
      </c>
      <c r="U35" s="21"/>
      <c r="V35" s="20">
        <f>ROUND((V34/V23*100),0)</f>
        <v>5</v>
      </c>
      <c r="W35" s="20">
        <f>[3]ARMM!V35</f>
        <v>7</v>
      </c>
      <c r="X35" s="21"/>
      <c r="Y35" s="21">
        <f>V35-W35</f>
        <v>-2</v>
      </c>
      <c r="Z35" s="21"/>
      <c r="AA35" s="20">
        <f>ROUND((AA34/AA23*100),0)</f>
        <v>0</v>
      </c>
      <c r="AB35" s="20">
        <f>[3]ARMM!AA35</f>
        <v>0</v>
      </c>
      <c r="AC35" s="21"/>
      <c r="AD35" s="21">
        <f>AA35-AB35</f>
        <v>0</v>
      </c>
      <c r="AE35" s="21"/>
      <c r="AF35" s="20">
        <f>ROUND((AF34/AF23*100),0)</f>
        <v>-28</v>
      </c>
      <c r="AG35" s="26">
        <f>[3]ARMM!AF35</f>
        <v>-5</v>
      </c>
      <c r="AH35" s="20"/>
      <c r="AI35" s="20">
        <f>AF35-AG35</f>
        <v>-23</v>
      </c>
      <c r="AJ35" s="21"/>
      <c r="AK35" s="21">
        <f>ROUND((AK34/AK23*100),0)</f>
        <v>-24</v>
      </c>
      <c r="AL35" s="21">
        <f>ROUND((AL34/AL23*100),0)</f>
        <v>-15</v>
      </c>
      <c r="AM35" s="21"/>
      <c r="AN35" s="21">
        <f>AK35-AL35</f>
        <v>-9</v>
      </c>
    </row>
    <row r="36" spans="1:44">
      <c r="B36" s="31"/>
      <c r="C36" s="31"/>
      <c r="D36" s="21"/>
      <c r="E36" s="21"/>
      <c r="F36" s="21"/>
      <c r="G36" s="31"/>
      <c r="H36" s="21"/>
      <c r="I36" s="21"/>
      <c r="J36" s="21"/>
      <c r="K36" s="21"/>
      <c r="L36" s="31"/>
      <c r="M36" s="21"/>
      <c r="N36" s="21"/>
      <c r="O36" s="21"/>
      <c r="P36" s="21"/>
      <c r="Q36" s="32"/>
      <c r="R36" s="23"/>
      <c r="S36" s="23"/>
      <c r="T36" s="21"/>
      <c r="U36" s="21"/>
      <c r="V36" s="31"/>
      <c r="W36" s="21"/>
      <c r="X36" s="21"/>
      <c r="Y36" s="21"/>
      <c r="Z36" s="21"/>
      <c r="AA36" s="31"/>
      <c r="AB36" s="21"/>
      <c r="AC36" s="21"/>
      <c r="AD36" s="21"/>
      <c r="AE36" s="21"/>
      <c r="AF36" s="31"/>
      <c r="AG36" s="20"/>
      <c r="AH36" s="20"/>
      <c r="AI36" s="20"/>
      <c r="AJ36" s="21"/>
      <c r="AK36" s="21"/>
      <c r="AL36" s="21"/>
      <c r="AM36" s="21"/>
      <c r="AN36" s="21"/>
    </row>
    <row r="37" spans="1:44" ht="15.75">
      <c r="A37" s="1" t="s">
        <v>35</v>
      </c>
      <c r="B37" s="29"/>
      <c r="C37" s="29"/>
      <c r="D37" s="21"/>
      <c r="E37" s="21"/>
      <c r="F37" s="21"/>
      <c r="G37" s="29"/>
      <c r="H37" s="21"/>
      <c r="I37" s="21"/>
      <c r="J37" s="21"/>
      <c r="K37" s="21"/>
      <c r="L37" s="29"/>
      <c r="M37" s="21"/>
      <c r="N37" s="21"/>
      <c r="O37" s="21"/>
      <c r="P37" s="21"/>
      <c r="Q37" s="33"/>
      <c r="R37" s="23"/>
      <c r="S37" s="23"/>
      <c r="T37" s="21"/>
      <c r="U37" s="21"/>
      <c r="V37" s="29"/>
      <c r="W37" s="21"/>
      <c r="X37" s="21"/>
      <c r="Y37" s="21"/>
      <c r="Z37" s="21"/>
      <c r="AA37" s="29"/>
      <c r="AB37" s="21"/>
      <c r="AC37" s="21"/>
      <c r="AD37" s="21"/>
      <c r="AE37" s="21"/>
      <c r="AF37" s="29"/>
      <c r="AG37" s="20"/>
      <c r="AH37" s="20"/>
      <c r="AI37" s="20"/>
      <c r="AJ37" s="21"/>
      <c r="AK37" s="21"/>
      <c r="AL37" s="21"/>
      <c r="AM37" s="21"/>
      <c r="AN37" s="21"/>
    </row>
    <row r="38" spans="1:44">
      <c r="B38" s="20"/>
      <c r="C38" s="20"/>
      <c r="D38" s="21"/>
      <c r="E38" s="21"/>
      <c r="F38" s="21"/>
      <c r="G38" s="20"/>
      <c r="H38" s="21"/>
      <c r="I38" s="21"/>
      <c r="J38" s="21"/>
      <c r="K38" s="21"/>
      <c r="L38" s="20"/>
      <c r="M38" s="21"/>
      <c r="N38" s="21"/>
      <c r="O38" s="21"/>
      <c r="P38" s="21"/>
      <c r="Q38" s="22"/>
      <c r="R38" s="23"/>
      <c r="S38" s="23"/>
      <c r="T38" s="21"/>
      <c r="U38" s="21"/>
      <c r="V38" s="20"/>
      <c r="W38" s="21"/>
      <c r="X38" s="21"/>
      <c r="Y38" s="21"/>
      <c r="Z38" s="21"/>
      <c r="AA38" s="20"/>
      <c r="AB38" s="21"/>
      <c r="AC38" s="21"/>
      <c r="AD38" s="21"/>
      <c r="AE38" s="21"/>
      <c r="AF38" s="20"/>
      <c r="AG38" s="20"/>
      <c r="AH38" s="20"/>
      <c r="AI38" s="20"/>
      <c r="AJ38" s="21"/>
      <c r="AK38" s="21"/>
      <c r="AL38" s="21"/>
      <c r="AM38" s="21"/>
      <c r="AN38" s="21"/>
    </row>
    <row r="39" spans="1:44" ht="15" customHeight="1">
      <c r="A39" s="19" t="s">
        <v>36</v>
      </c>
      <c r="B39" s="20">
        <f>[2]FP!U31</f>
        <v>-915.31</v>
      </c>
      <c r="C39" s="20">
        <f>[3]ARMM!B39</f>
        <v>29977.97147</v>
      </c>
      <c r="D39" s="21">
        <f>B39-C39</f>
        <v>-30893.281470000002</v>
      </c>
      <c r="E39" s="21">
        <f>D39/C39*100</f>
        <v>-103.05327530555557</v>
      </c>
      <c r="F39" s="21"/>
      <c r="G39" s="20"/>
      <c r="H39" s="21"/>
      <c r="I39" s="21"/>
      <c r="J39" s="21"/>
      <c r="K39" s="21"/>
      <c r="L39" s="20"/>
      <c r="M39" s="21"/>
      <c r="N39" s="21"/>
      <c r="O39" s="21"/>
      <c r="P39" s="21"/>
      <c r="Q39" s="22">
        <f>[4]FP!U31</f>
        <v>82828.3</v>
      </c>
      <c r="R39" s="23">
        <v>67039.784820000001</v>
      </c>
      <c r="S39" s="23">
        <f>Q39-R39</f>
        <v>15788.515180000002</v>
      </c>
      <c r="T39" s="21">
        <f>S39/R39*100</f>
        <v>23.550963390457973</v>
      </c>
      <c r="U39" s="21"/>
      <c r="V39" s="20">
        <f>[5]FP!U31</f>
        <v>3457.47</v>
      </c>
      <c r="W39" s="20">
        <f>[3]ARMM!V39</f>
        <v>5140.99</v>
      </c>
      <c r="X39" s="21">
        <f>V39-W39</f>
        <v>-1683.52</v>
      </c>
      <c r="Y39" s="21">
        <f>X39/W39*100</f>
        <v>-32.74700009142208</v>
      </c>
      <c r="Z39" s="21"/>
      <c r="AA39" s="20">
        <f>[6]FP!U31</f>
        <v>89048.9</v>
      </c>
      <c r="AB39" s="20">
        <f>[3]ARMM!AA39</f>
        <v>79948.463599999988</v>
      </c>
      <c r="AC39" s="21">
        <f>AA39-AB39</f>
        <v>9100.436400000006</v>
      </c>
      <c r="AD39" s="21">
        <f>AC39/AB39*100</f>
        <v>11.382878407184309</v>
      </c>
      <c r="AE39" s="21"/>
      <c r="AF39" s="20">
        <f>[7]FP!U31</f>
        <v>50787.13</v>
      </c>
      <c r="AG39" s="26">
        <f>[3]ARMM!AF39</f>
        <v>36812.68</v>
      </c>
      <c r="AH39" s="21">
        <f>AF39-AG39</f>
        <v>13974.449999999997</v>
      </c>
      <c r="AI39" s="21">
        <f>AH39/AG39*100</f>
        <v>37.960968883547721</v>
      </c>
      <c r="AJ39" s="21"/>
      <c r="AK39" s="21">
        <f t="shared" ref="AK39:AL41" si="13">G39+B39+Q39+V39+AA39+AF39+L39</f>
        <v>225206.49</v>
      </c>
      <c r="AL39" s="21">
        <f t="shared" si="13"/>
        <v>218919.88988999999</v>
      </c>
      <c r="AM39" s="21">
        <f>AK39-AL39</f>
        <v>6286.6001099999994</v>
      </c>
      <c r="AN39" s="21">
        <f>AM39/AL39*100</f>
        <v>2.8716441037672769</v>
      </c>
      <c r="AP39" s="24"/>
    </row>
    <row r="40" spans="1:44" ht="15" customHeight="1">
      <c r="A40" s="19" t="s">
        <v>37</v>
      </c>
      <c r="B40" s="20">
        <f>[2]FP!U32</f>
        <v>0</v>
      </c>
      <c r="C40" s="20">
        <f>[3]ARMM!B40</f>
        <v>0</v>
      </c>
      <c r="D40" s="21">
        <f>B40-C40</f>
        <v>0</v>
      </c>
      <c r="E40" s="21"/>
      <c r="F40" s="21"/>
      <c r="G40" s="20"/>
      <c r="H40" s="21"/>
      <c r="I40" s="21"/>
      <c r="J40" s="21"/>
      <c r="K40" s="21"/>
      <c r="L40" s="20"/>
      <c r="M40" s="21"/>
      <c r="N40" s="21"/>
      <c r="O40" s="21"/>
      <c r="P40" s="21"/>
      <c r="Q40" s="22">
        <f>[4]FP!U32</f>
        <v>2016.32</v>
      </c>
      <c r="R40" s="23">
        <v>2016.3157900000001</v>
      </c>
      <c r="S40" s="23">
        <f>Q40-R40</f>
        <v>4.2099999998299609E-3</v>
      </c>
      <c r="T40" s="21">
        <f>S40/R40*100</f>
        <v>2.0879665877287807E-4</v>
      </c>
      <c r="U40" s="21"/>
      <c r="V40" s="20">
        <f>[5]FP!U32</f>
        <v>0</v>
      </c>
      <c r="W40" s="20">
        <f>[3]ARMM!V40</f>
        <v>0</v>
      </c>
      <c r="X40" s="21">
        <f>V40-W40</f>
        <v>0</v>
      </c>
      <c r="Y40" s="21"/>
      <c r="Z40" s="21"/>
      <c r="AA40" s="20">
        <f>[6]FP!U32</f>
        <v>22983.06</v>
      </c>
      <c r="AB40" s="20">
        <f>[3]ARMM!AA40</f>
        <v>22244.236359999999</v>
      </c>
      <c r="AC40" s="21">
        <f>AA40-AB40</f>
        <v>738.82364000000234</v>
      </c>
      <c r="AD40" s="21">
        <f>AC40/AB40*100</f>
        <v>3.3214160650107494</v>
      </c>
      <c r="AE40" s="21"/>
      <c r="AF40" s="20">
        <f>[7]FP!U32</f>
        <v>0</v>
      </c>
      <c r="AG40" s="26">
        <f>[3]ARMM!AF40</f>
        <v>0</v>
      </c>
      <c r="AH40" s="21">
        <f>AF40-AG40</f>
        <v>0</v>
      </c>
      <c r="AI40" s="21"/>
      <c r="AJ40" s="21"/>
      <c r="AK40" s="21">
        <f t="shared" si="13"/>
        <v>24999.38</v>
      </c>
      <c r="AL40" s="21">
        <f t="shared" si="13"/>
        <v>24260.55215</v>
      </c>
      <c r="AM40" s="21">
        <f>AK40-AL40</f>
        <v>738.82785000000149</v>
      </c>
      <c r="AN40" s="21">
        <f>AM40/AL40*100</f>
        <v>3.0453876129113637</v>
      </c>
      <c r="AP40" s="24"/>
    </row>
    <row r="41" spans="1:44" ht="15" customHeight="1">
      <c r="A41" s="19" t="s">
        <v>38</v>
      </c>
      <c r="B41" s="20">
        <f>[2]FP!U33</f>
        <v>9238.58</v>
      </c>
      <c r="C41" s="20">
        <f>[3]ARMM!B41</f>
        <v>-8026.6611299999995</v>
      </c>
      <c r="D41" s="21">
        <f>B41-C41</f>
        <v>17265.241129999999</v>
      </c>
      <c r="E41" s="21">
        <f>D41/C41*100</f>
        <v>-215.09866743309246</v>
      </c>
      <c r="F41" s="21"/>
      <c r="G41" s="20"/>
      <c r="H41" s="21"/>
      <c r="I41" s="21"/>
      <c r="J41" s="21"/>
      <c r="K41" s="21"/>
      <c r="L41" s="20"/>
      <c r="M41" s="21"/>
      <c r="N41" s="21"/>
      <c r="O41" s="21"/>
      <c r="P41" s="21"/>
      <c r="Q41" s="22">
        <f>[4]FP!U33</f>
        <v>15293.65</v>
      </c>
      <c r="R41" s="23">
        <v>-17293.647659999999</v>
      </c>
      <c r="S41" s="23">
        <f>Q41-R41</f>
        <v>32587.297659999997</v>
      </c>
      <c r="T41" s="21">
        <f>S41/R41*100</f>
        <v>-188.43507339041045</v>
      </c>
      <c r="U41" s="21"/>
      <c r="V41" s="20">
        <f>[5]FP!U33</f>
        <v>1132.04</v>
      </c>
      <c r="W41" s="20">
        <f>[3]ARMM!V41</f>
        <v>731.45</v>
      </c>
      <c r="X41" s="21">
        <f>V41-W41</f>
        <v>400.58999999999992</v>
      </c>
      <c r="Y41" s="21">
        <f>X41/W41*100</f>
        <v>54.766559573449982</v>
      </c>
      <c r="Z41" s="21"/>
      <c r="AA41" s="20">
        <f>[6]FP!U33</f>
        <v>29577.77</v>
      </c>
      <c r="AB41" s="20">
        <f>[3]ARMM!AA41</f>
        <v>30962.705089999999</v>
      </c>
      <c r="AC41" s="21">
        <f>AA41-AB41</f>
        <v>-1384.935089999999</v>
      </c>
      <c r="AD41" s="21">
        <f>AC41/AB41*100</f>
        <v>-4.4729137392045581</v>
      </c>
      <c r="AE41" s="21"/>
      <c r="AF41" s="20">
        <f>[7]FP!U33</f>
        <v>3003.38</v>
      </c>
      <c r="AG41" s="26">
        <f>[3]ARMM!AF41</f>
        <v>3556.38</v>
      </c>
      <c r="AH41" s="21">
        <f>AF41-AG41</f>
        <v>-553</v>
      </c>
      <c r="AI41" s="21">
        <f>AH41/AG41*100</f>
        <v>-15.54951945517633</v>
      </c>
      <c r="AJ41" s="21"/>
      <c r="AK41" s="21">
        <f t="shared" si="13"/>
        <v>58245.42</v>
      </c>
      <c r="AL41" s="21">
        <f t="shared" si="13"/>
        <v>9930.2263000000021</v>
      </c>
      <c r="AM41" s="21">
        <f>AK41-AL41</f>
        <v>48315.193699999996</v>
      </c>
      <c r="AN41" s="21">
        <f>AM41/AL41*100</f>
        <v>486.54675372302432</v>
      </c>
    </row>
    <row r="42" spans="1:44" ht="15" customHeight="1">
      <c r="A42" s="19" t="s">
        <v>39</v>
      </c>
      <c r="B42" s="34"/>
      <c r="C42" s="34">
        <f>[3]ARMM!B42</f>
        <v>0</v>
      </c>
      <c r="D42" s="35"/>
      <c r="E42" s="35"/>
      <c r="F42" s="35"/>
      <c r="G42" s="34"/>
      <c r="H42" s="35"/>
      <c r="I42" s="35"/>
      <c r="J42" s="35"/>
      <c r="K42" s="35"/>
      <c r="L42" s="34"/>
      <c r="M42" s="35"/>
      <c r="N42" s="35"/>
      <c r="O42" s="35"/>
      <c r="P42" s="35"/>
      <c r="Q42" s="36"/>
      <c r="R42" s="37"/>
      <c r="S42" s="37"/>
      <c r="T42" s="35"/>
      <c r="U42" s="35"/>
      <c r="V42" s="34"/>
      <c r="W42" s="34">
        <f>[3]ARMM!V42</f>
        <v>0</v>
      </c>
      <c r="X42" s="35"/>
      <c r="Y42" s="35"/>
      <c r="Z42" s="35"/>
      <c r="AA42" s="34"/>
      <c r="AB42" s="34">
        <f>[3]ARMM!AA42</f>
        <v>0</v>
      </c>
      <c r="AC42" s="35"/>
      <c r="AD42" s="35"/>
      <c r="AE42" s="35"/>
      <c r="AF42" s="34"/>
      <c r="AG42" s="38"/>
      <c r="AH42" s="35"/>
      <c r="AI42" s="35"/>
      <c r="AJ42" s="35"/>
      <c r="AK42" s="35"/>
      <c r="AL42" s="35"/>
      <c r="AM42" s="35"/>
      <c r="AN42" s="35"/>
      <c r="AP42" s="24"/>
    </row>
    <row r="43" spans="1:44" ht="15" customHeight="1">
      <c r="A43" s="19" t="s">
        <v>40</v>
      </c>
      <c r="B43" s="20">
        <f>[2]FP!$U$35</f>
        <v>317628.27</v>
      </c>
      <c r="C43" s="20">
        <f>[3]ARMM!B43</f>
        <v>264778.2</v>
      </c>
      <c r="D43" s="21">
        <f>B43-C43</f>
        <v>52850.070000000007</v>
      </c>
      <c r="E43" s="21">
        <f>D43/C43*100</f>
        <v>19.960128892786493</v>
      </c>
      <c r="F43" s="21"/>
      <c r="G43" s="20"/>
      <c r="H43" s="21"/>
      <c r="I43" s="21"/>
      <c r="J43" s="21"/>
      <c r="K43" s="21"/>
      <c r="L43" s="20"/>
      <c r="M43" s="21"/>
      <c r="N43" s="21"/>
      <c r="O43" s="21"/>
      <c r="P43" s="21"/>
      <c r="Q43" s="22">
        <f>[4]FP!$U$35</f>
        <v>2466299.46</v>
      </c>
      <c r="R43" s="22">
        <v>2292771.9406599998</v>
      </c>
      <c r="S43" s="23">
        <f>Q43-R43</f>
        <v>173527.51934000012</v>
      </c>
      <c r="T43" s="21">
        <f>S43/R43*100</f>
        <v>7.5684596563079145</v>
      </c>
      <c r="U43" s="21"/>
      <c r="V43" s="20">
        <f>[5]FP!$U$35</f>
        <v>20140.599999999999</v>
      </c>
      <c r="W43" s="20">
        <f>[3]ARMM!V43</f>
        <v>20841.400000000001</v>
      </c>
      <c r="X43" s="21">
        <f>V43-W43</f>
        <v>-700.80000000000291</v>
      </c>
      <c r="Y43" s="21">
        <f>X43/W43*100</f>
        <v>-3.3625380252766268</v>
      </c>
      <c r="Z43" s="21"/>
      <c r="AA43" s="20">
        <f>[6]FP!$U$35</f>
        <v>806212.27</v>
      </c>
      <c r="AB43" s="20">
        <f>[3]ARMM!AA43</f>
        <v>737224.75</v>
      </c>
      <c r="AC43" s="21">
        <f>AA43-AB43</f>
        <v>68987.520000000019</v>
      </c>
      <c r="AD43" s="21">
        <f>AC43/AB43*100</f>
        <v>9.3577324960943074</v>
      </c>
      <c r="AE43" s="21"/>
      <c r="AF43" s="20">
        <f>[7]FP!$U$35</f>
        <v>759137.78</v>
      </c>
      <c r="AG43" s="26">
        <f>[3]ARMM!AF43</f>
        <v>728257.99</v>
      </c>
      <c r="AH43" s="21">
        <f>AF43-AG43</f>
        <v>30879.790000000037</v>
      </c>
      <c r="AI43" s="21">
        <f>AH43/AG43*100</f>
        <v>4.2402267361323469</v>
      </c>
      <c r="AJ43" s="21"/>
      <c r="AK43" s="21">
        <f>G43+B43+Q43+V43+AA43+AF43+L43</f>
        <v>4369418.38</v>
      </c>
      <c r="AL43" s="21">
        <f>H43+C43+R43+W43+AB43+AG43+M43</f>
        <v>4043874.2806599997</v>
      </c>
      <c r="AM43" s="21">
        <f>AK43-AL43</f>
        <v>325544.09934000019</v>
      </c>
      <c r="AN43" s="21">
        <f>AM43/AL43*100</f>
        <v>8.0503021791980203</v>
      </c>
      <c r="AO43" s="21"/>
      <c r="AP43" s="39"/>
      <c r="AQ43" s="39"/>
      <c r="AR43" s="39"/>
    </row>
    <row r="44" spans="1:44" ht="15" customHeight="1">
      <c r="A44" s="19" t="s">
        <v>41</v>
      </c>
      <c r="B44" s="40">
        <f>B43/(B15/9)</f>
        <v>6.0077253573825153</v>
      </c>
      <c r="C44" s="40">
        <f>C43/(C15/9)</f>
        <v>5.7974949323686173</v>
      </c>
      <c r="D44" s="35">
        <f>B44-C44</f>
        <v>0.21023042501389799</v>
      </c>
      <c r="E44" s="21">
        <f>D44/C44*100</f>
        <v>3.6262286981940748</v>
      </c>
      <c r="F44" s="35"/>
      <c r="G44" s="41"/>
      <c r="H44" s="35"/>
      <c r="I44" s="35"/>
      <c r="J44" s="21"/>
      <c r="K44" s="35"/>
      <c r="L44" s="41"/>
      <c r="M44" s="34"/>
      <c r="N44" s="35"/>
      <c r="O44" s="21"/>
      <c r="P44" s="35"/>
      <c r="Q44" s="40">
        <f>Q43/(Q15/9)</f>
        <v>57.726213134964794</v>
      </c>
      <c r="R44" s="40">
        <f>R43/(R15/9)</f>
        <v>54.055925119729949</v>
      </c>
      <c r="S44" s="37">
        <f>Q44-R44</f>
        <v>3.6702880152348456</v>
      </c>
      <c r="T44" s="21">
        <f>S44/R44*100</f>
        <v>6.7897978012686373</v>
      </c>
      <c r="U44" s="35"/>
      <c r="V44" s="34">
        <f>V43/(V15/'[1]DON''T DELETE'!B1)</f>
        <v>3.7863384139372509</v>
      </c>
      <c r="W44" s="34">
        <f>[3]ARMM!V44</f>
        <v>4.2867457721684552</v>
      </c>
      <c r="X44" s="35">
        <f>V44-W44</f>
        <v>-0.5004073582312043</v>
      </c>
      <c r="Y44" s="21">
        <f>X44/W44*100</f>
        <v>-11.673362145245033</v>
      </c>
      <c r="Z44" s="35"/>
      <c r="AA44" s="34">
        <f>AA43/(AA15/'[1]DON''T DELETE'!B1)</f>
        <v>14.160564127904804</v>
      </c>
      <c r="AB44" s="34">
        <f>[3]ARMM!AA44</f>
        <v>15.084312891723032</v>
      </c>
      <c r="AC44" s="35">
        <f>AA44-AB44</f>
        <v>-0.92374876381822801</v>
      </c>
      <c r="AD44" s="21">
        <f>AC44/AB44*100</f>
        <v>-6.1239034913224426</v>
      </c>
      <c r="AE44" s="35"/>
      <c r="AF44" s="34">
        <f>AF43/(AF15/'[1]DON''T DELETE'!B1)</f>
        <v>19.326870875911172</v>
      </c>
      <c r="AG44" s="34">
        <f>[3]ARMM!AF44</f>
        <v>17.32246831030859</v>
      </c>
      <c r="AH44" s="35">
        <f>AF44-AG44</f>
        <v>2.0044025656025823</v>
      </c>
      <c r="AI44" s="21">
        <f>AH44/AG44*100</f>
        <v>11.571114056590675</v>
      </c>
      <c r="AJ44" s="35"/>
      <c r="AK44" s="35">
        <f>AK43/(AK15/'[1]DON''T DELETE'!B1)</f>
        <v>22.165629889795394</v>
      </c>
      <c r="AL44" s="35">
        <f>AL43/(AL15/'[1]DON''T DELETE'!B1)</f>
        <v>21.993999345431956</v>
      </c>
      <c r="AM44" s="35">
        <f>AK44-AL44</f>
        <v>0.17163054436343828</v>
      </c>
      <c r="AN44" s="21">
        <f>AM44/AL44*100</f>
        <v>0.78035168442016478</v>
      </c>
      <c r="AO44" s="35"/>
    </row>
    <row r="45" spans="1:44" ht="15" customHeight="1">
      <c r="A45" s="19" t="s">
        <v>42</v>
      </c>
      <c r="B45" s="42"/>
      <c r="C45" s="42">
        <f>[3]ARMM!B45</f>
        <v>0</v>
      </c>
      <c r="D45" s="35"/>
      <c r="E45" s="35"/>
      <c r="F45" s="35"/>
      <c r="G45" s="42"/>
      <c r="H45" s="43"/>
      <c r="I45" s="35"/>
      <c r="J45" s="35"/>
      <c r="K45" s="35"/>
      <c r="L45" s="42"/>
      <c r="M45" s="43"/>
      <c r="N45" s="35"/>
      <c r="O45" s="35"/>
      <c r="P45" s="35"/>
      <c r="Q45" s="44"/>
      <c r="R45" s="45">
        <f>[3]ARMM!Q45</f>
        <v>0</v>
      </c>
      <c r="S45" s="37"/>
      <c r="T45" s="35"/>
      <c r="U45" s="35"/>
      <c r="V45" s="42"/>
      <c r="W45" s="42">
        <f>[3]ARMM!V45</f>
        <v>0</v>
      </c>
      <c r="X45" s="35"/>
      <c r="Y45" s="35"/>
      <c r="Z45" s="35"/>
      <c r="AA45" s="42"/>
      <c r="AB45" s="42">
        <f>[3]ARMM!AA45</f>
        <v>0</v>
      </c>
      <c r="AC45" s="35"/>
      <c r="AD45" s="35"/>
      <c r="AE45" s="35"/>
      <c r="AF45" s="42"/>
      <c r="AG45" s="46">
        <f>[3]ARMM!AF45</f>
        <v>0</v>
      </c>
      <c r="AH45" s="34"/>
      <c r="AI45" s="34"/>
      <c r="AJ45" s="35"/>
      <c r="AK45" s="35"/>
      <c r="AL45" s="35"/>
      <c r="AM45" s="34"/>
      <c r="AN45" s="34"/>
      <c r="AO45" s="35"/>
      <c r="AP45" s="30"/>
    </row>
    <row r="46" spans="1:44" ht="15" customHeight="1">
      <c r="A46" s="19" t="s">
        <v>40</v>
      </c>
      <c r="B46" s="20">
        <f>[2]FP!$U$38</f>
        <v>3487123.66</v>
      </c>
      <c r="C46" s="20">
        <f>[3]ARMM!B46</f>
        <v>3174943.7</v>
      </c>
      <c r="D46" s="21">
        <f>B46-C46</f>
        <v>312179.95999999996</v>
      </c>
      <c r="E46" s="21">
        <f>D46/C46*100</f>
        <v>9.8326140397387185</v>
      </c>
      <c r="F46" s="21"/>
      <c r="G46" s="20"/>
      <c r="H46" s="21"/>
      <c r="I46" s="21"/>
      <c r="J46" s="21"/>
      <c r="K46" s="21"/>
      <c r="L46" s="20"/>
      <c r="M46" s="21"/>
      <c r="N46" s="21"/>
      <c r="O46" s="21"/>
      <c r="P46" s="21"/>
      <c r="Q46" s="22">
        <f>[4]FP!$U$38</f>
        <v>1224395.1000000001</v>
      </c>
      <c r="R46" s="23">
        <v>821484.49901999999</v>
      </c>
      <c r="S46" s="23">
        <f>Q46-R46</f>
        <v>402910.6009800001</v>
      </c>
      <c r="T46" s="21">
        <f>S46/R46*100</f>
        <v>49.046646827865558</v>
      </c>
      <c r="U46" s="21"/>
      <c r="V46" s="20">
        <f>[5]FP!$U$38</f>
        <v>4100.67</v>
      </c>
      <c r="W46" s="20">
        <f>[3]ARMM!V46</f>
        <v>3850.9</v>
      </c>
      <c r="X46" s="21">
        <f>V46-W46</f>
        <v>249.76999999999998</v>
      </c>
      <c r="Y46" s="21">
        <f>X46/W46*100</f>
        <v>6.4860162559401688</v>
      </c>
      <c r="Z46" s="21"/>
      <c r="AA46" s="20">
        <f>[6]FP!$U$38</f>
        <v>3700005.86</v>
      </c>
      <c r="AB46" s="20">
        <f>[3]ARMM!AA46</f>
        <v>1701218.5</v>
      </c>
      <c r="AC46" s="21">
        <f>AA46-AB46</f>
        <v>1998787.3599999999</v>
      </c>
      <c r="AD46" s="21">
        <f>AC46/AB46*100</f>
        <v>117.49151328885736</v>
      </c>
      <c r="AE46" s="21"/>
      <c r="AF46" s="20">
        <f>[7]FP!$U$38</f>
        <v>2240530.02</v>
      </c>
      <c r="AG46" s="20">
        <f>[3]ARMM!AF46</f>
        <v>2098282.44</v>
      </c>
      <c r="AH46" s="20">
        <f>AF46-AG46</f>
        <v>142247.58000000007</v>
      </c>
      <c r="AI46" s="20">
        <f>AH46/AG46*100</f>
        <v>6.7792389283875476</v>
      </c>
      <c r="AJ46" s="21"/>
      <c r="AK46" s="21">
        <f>G46+B46+Q46+V46+AA46+AF46+L46</f>
        <v>10656155.309999999</v>
      </c>
      <c r="AL46" s="21">
        <f>H46+C46+R46+W46+AB46+AG46+M46</f>
        <v>7799780.03902</v>
      </c>
      <c r="AM46" s="20">
        <f>AK46-AL46</f>
        <v>2856375.2709799986</v>
      </c>
      <c r="AN46" s="20">
        <f>AM46/AL46*100</f>
        <v>36.621228505039824</v>
      </c>
      <c r="AO46" s="21"/>
      <c r="AP46" s="24"/>
    </row>
    <row r="47" spans="1:44" ht="15" customHeight="1">
      <c r="A47" s="19" t="s">
        <v>43</v>
      </c>
      <c r="B47" s="47">
        <f>B46/(B24/9)</f>
        <v>86.415843870879058</v>
      </c>
      <c r="C47" s="47">
        <f>C46/(C24/9)</f>
        <v>93.969944439662498</v>
      </c>
      <c r="D47" s="35">
        <f>B47-C47</f>
        <v>-7.5541005687834399</v>
      </c>
      <c r="E47" s="21">
        <f>D47/C47*100</f>
        <v>-8.0388475419753824</v>
      </c>
      <c r="F47" s="35"/>
      <c r="G47" s="41"/>
      <c r="H47" s="35"/>
      <c r="I47" s="35"/>
      <c r="J47" s="21"/>
      <c r="K47" s="35"/>
      <c r="L47" s="41"/>
      <c r="M47" s="34"/>
      <c r="N47" s="35"/>
      <c r="O47" s="21"/>
      <c r="P47" s="35"/>
      <c r="Q47" s="40">
        <f>Q46/(Q24/'[1]DON''T DELETE'!B1)</f>
        <v>23.162145807860789</v>
      </c>
      <c r="R47" s="47">
        <f>R46/(R24/9)</f>
        <v>20.882825786217769</v>
      </c>
      <c r="S47" s="37">
        <f>Q47-R47</f>
        <v>2.2793200216430201</v>
      </c>
      <c r="T47" s="21">
        <f>S47/R47*100</f>
        <v>10.914806477710139</v>
      </c>
      <c r="U47" s="35"/>
      <c r="V47" s="34">
        <f>V46/(V24/'[1]DON''T DELETE'!B1)</f>
        <v>1.1839676774635837</v>
      </c>
      <c r="W47" s="34">
        <f>[3]ARMM!V47</f>
        <v>1.2562308692820867</v>
      </c>
      <c r="X47" s="35">
        <f>V47-W47</f>
        <v>-7.2263191818503048E-2</v>
      </c>
      <c r="Y47" s="21">
        <f>X47/W47*100</f>
        <v>-5.7523814758508642</v>
      </c>
      <c r="Z47" s="35"/>
      <c r="AA47" s="34">
        <f>AA46/(AA24/'[1]DON''T DELETE'!B1)</f>
        <v>86.59094917350167</v>
      </c>
      <c r="AB47" s="34">
        <f>[3]ARMM!AA47</f>
        <v>45.723928444444333</v>
      </c>
      <c r="AC47" s="35">
        <f>AA47-AB47</f>
        <v>40.867020729057337</v>
      </c>
      <c r="AD47" s="21">
        <f>AC47/AB47*100</f>
        <v>89.37775497289509</v>
      </c>
      <c r="AE47" s="35"/>
      <c r="AF47" s="34">
        <f>AF46/(AF24/'[1]DON''T DELETE'!B1)</f>
        <v>73.987217878038535</v>
      </c>
      <c r="AG47" s="34">
        <f>[3]ARMM!AF47</f>
        <v>78.413713264715653</v>
      </c>
      <c r="AH47" s="34">
        <f>AF47-AG47</f>
        <v>-4.4264953866771179</v>
      </c>
      <c r="AI47" s="20">
        <f>AH47/AG47*100</f>
        <v>-5.6450526347780263</v>
      </c>
      <c r="AJ47" s="35"/>
      <c r="AK47" s="35">
        <f>AK46/(AK24/'[1]DON''T DELETE'!B1)</f>
        <v>62.797558481102591</v>
      </c>
      <c r="AL47" s="35">
        <f>AL46/(AL24/'[1]DON''T DELETE'!B1)</f>
        <v>55.650911933555449</v>
      </c>
      <c r="AM47" s="34">
        <f>AK47-AL47</f>
        <v>7.1466465475471423</v>
      </c>
      <c r="AN47" s="20">
        <f>AM47/AL47*100</f>
        <v>12.841921721031094</v>
      </c>
      <c r="AO47" s="35"/>
    </row>
    <row r="48" spans="1:44" ht="15" customHeight="1">
      <c r="A48" s="19" t="s">
        <v>44</v>
      </c>
      <c r="B48" s="20">
        <f>[2]FP!U40</f>
        <v>36758.151790000004</v>
      </c>
      <c r="C48" s="20">
        <f>[3]ARMM!B48</f>
        <v>15484.396708888888</v>
      </c>
      <c r="D48" s="21">
        <f>B48-C48</f>
        <v>21273.755081111114</v>
      </c>
      <c r="E48" s="21">
        <f>D48/C48*100</f>
        <v>137.38833666602471</v>
      </c>
      <c r="F48" s="21"/>
      <c r="G48" s="20"/>
      <c r="H48" s="21"/>
      <c r="I48" s="21"/>
      <c r="J48" s="21"/>
      <c r="K48" s="21"/>
      <c r="L48" s="20"/>
      <c r="M48" s="48"/>
      <c r="N48" s="21"/>
      <c r="O48" s="21"/>
      <c r="P48" s="21"/>
      <c r="Q48" s="22">
        <f>[4]FP!U40</f>
        <v>17206.853842222219</v>
      </c>
      <c r="R48" s="23">
        <v>15529.342256666669</v>
      </c>
      <c r="S48" s="23">
        <f>Q48-R48</f>
        <v>1677.5115855555505</v>
      </c>
      <c r="T48" s="21">
        <f>S48/R48*100</f>
        <v>10.802206286846458</v>
      </c>
      <c r="U48" s="21"/>
      <c r="V48" s="20">
        <f>[5]FP!U40</f>
        <v>3749.3197311111112</v>
      </c>
      <c r="W48" s="20">
        <f>[3]ARMM!V48</f>
        <v>3204.5386711111114</v>
      </c>
      <c r="X48" s="21">
        <f>V48-W48</f>
        <v>544.7810599999998</v>
      </c>
      <c r="Y48" s="21">
        <f>X48/W48*100</f>
        <v>17.000296014874039</v>
      </c>
      <c r="Z48" s="21"/>
      <c r="AA48" s="20">
        <f>[6]FP!U40</f>
        <v>42045.216666666674</v>
      </c>
      <c r="AB48" s="20">
        <f>[3]ARMM!AA48</f>
        <v>25548.350666666669</v>
      </c>
      <c r="AC48" s="21">
        <f>AA48-AB48</f>
        <v>16496.866000000005</v>
      </c>
      <c r="AD48" s="21">
        <f>AC48/AB48*100</f>
        <v>64.571158487830388</v>
      </c>
      <c r="AE48" s="21"/>
      <c r="AF48" s="20">
        <f>[7]FP!U40</f>
        <v>26944.322016666669</v>
      </c>
      <c r="AG48" s="20">
        <f>[3]ARMM!AF48</f>
        <v>26543.354682222223</v>
      </c>
      <c r="AH48" s="20">
        <f>AF48-AG48</f>
        <v>400.96733444444544</v>
      </c>
      <c r="AI48" s="20">
        <f>AH48/AG48*100</f>
        <v>1.5106128793622264</v>
      </c>
      <c r="AJ48" s="21"/>
      <c r="AK48" s="21">
        <f>G48+Q48+AA48+AF48</f>
        <v>86196.392525555566</v>
      </c>
      <c r="AL48" s="21">
        <f>H48+R48+AB48+AG48</f>
        <v>67621.047605555563</v>
      </c>
      <c r="AM48" s="20">
        <f>AK48-AL48</f>
        <v>18575.344920000003</v>
      </c>
      <c r="AN48" s="20">
        <f>AM48/AL48*100</f>
        <v>27.469768034877212</v>
      </c>
      <c r="AO48" s="21"/>
      <c r="AP48" s="39"/>
      <c r="AQ48" s="39"/>
    </row>
    <row r="49" spans="1:43" ht="15" customHeight="1">
      <c r="A49" s="19" t="s">
        <v>45</v>
      </c>
      <c r="B49" s="20">
        <f>[2]FP!U41</f>
        <v>2114.10034</v>
      </c>
      <c r="C49" s="20">
        <f>[3]ARMM!B49</f>
        <v>3189.01658</v>
      </c>
      <c r="D49" s="21">
        <f>B49-C49</f>
        <v>-1074.91624</v>
      </c>
      <c r="E49" s="21">
        <f>D49/C49*100</f>
        <v>-33.706825067682779</v>
      </c>
      <c r="F49" s="21"/>
      <c r="G49" s="20"/>
      <c r="H49" s="21"/>
      <c r="I49" s="21"/>
      <c r="J49" s="21"/>
      <c r="K49" s="21"/>
      <c r="L49" s="20"/>
      <c r="M49" s="21"/>
      <c r="N49" s="21"/>
      <c r="O49" s="21"/>
      <c r="P49" s="21"/>
      <c r="Q49" s="22">
        <f>[4]FP!U41</f>
        <v>6015.1143499999998</v>
      </c>
      <c r="R49" s="23">
        <v>5884.1989000000003</v>
      </c>
      <c r="S49" s="23">
        <f>Q49-R49</f>
        <v>130.91544999999951</v>
      </c>
      <c r="T49" s="21">
        <f>S49/R49*100</f>
        <v>2.224864458609642</v>
      </c>
      <c r="U49" s="21"/>
      <c r="V49" s="20">
        <f>[5]FP!U41</f>
        <v>268.30106000000001</v>
      </c>
      <c r="W49" s="20">
        <f>[3]ARMM!V49</f>
        <v>61.471059999999994</v>
      </c>
      <c r="X49" s="21">
        <f>V49-W49</f>
        <v>206.83</v>
      </c>
      <c r="Y49" s="21">
        <f>X49/W49*100</f>
        <v>336.46727419374258</v>
      </c>
      <c r="Z49" s="21"/>
      <c r="AA49" s="20">
        <f>[6]FP!U41</f>
        <v>514.38396</v>
      </c>
      <c r="AB49" s="20">
        <f>[3]ARMM!AA49</f>
        <v>853.28296</v>
      </c>
      <c r="AC49" s="21">
        <f>AA49-AB49</f>
        <v>-338.899</v>
      </c>
      <c r="AD49" s="21">
        <f>AC49/AB49*100</f>
        <v>-39.717071110854015</v>
      </c>
      <c r="AE49" s="21"/>
      <c r="AF49" s="20">
        <f>[7]FP!U41</f>
        <v>4205.8186799999994</v>
      </c>
      <c r="AG49" s="20">
        <f>[3]ARMM!AF49</f>
        <v>5054.3394000000008</v>
      </c>
      <c r="AH49" s="20">
        <f>AF49-AG49</f>
        <v>-848.52072000000135</v>
      </c>
      <c r="AI49" s="20">
        <f>AH49/AG49*100</f>
        <v>-16.787964812968461</v>
      </c>
      <c r="AJ49" s="21"/>
      <c r="AK49" s="21">
        <f>G49+B49+Q49+V49+AA49+AF49+L49</f>
        <v>13117.718389999998</v>
      </c>
      <c r="AL49" s="21">
        <f>H49+C49+R49+W49+AB49+AG49+M49</f>
        <v>15042.308900000002</v>
      </c>
      <c r="AM49" s="20">
        <f>AK49-AL49</f>
        <v>-1924.5905100000036</v>
      </c>
      <c r="AN49" s="20">
        <f>AM49/AL49*100</f>
        <v>-12.794515275510685</v>
      </c>
      <c r="AO49" s="21"/>
      <c r="AP49" s="39"/>
      <c r="AQ49" s="39"/>
    </row>
    <row r="50" spans="1:43" ht="15" customHeight="1">
      <c r="A50" s="19" t="s">
        <v>46</v>
      </c>
      <c r="B50" s="20">
        <f>[2]FP!U42</f>
        <v>10359.250899999999</v>
      </c>
      <c r="C50" s="20">
        <f>[3]ARMM!B50</f>
        <v>25036.894110000001</v>
      </c>
      <c r="D50" s="21">
        <f>B50-C50</f>
        <v>-14677.643210000002</v>
      </c>
      <c r="E50" s="21">
        <f>D50/C50*100</f>
        <v>-58.624057542894647</v>
      </c>
      <c r="F50" s="21"/>
      <c r="G50" s="20"/>
      <c r="H50" s="21"/>
      <c r="I50" s="21"/>
      <c r="J50" s="21"/>
      <c r="K50" s="21"/>
      <c r="L50" s="20"/>
      <c r="M50" s="48"/>
      <c r="N50" s="21"/>
      <c r="O50" s="21"/>
      <c r="P50" s="21"/>
      <c r="Q50" s="22">
        <f>[4]FP!U42</f>
        <v>902.06315000000006</v>
      </c>
      <c r="R50" s="23">
        <v>0</v>
      </c>
      <c r="S50" s="23">
        <f>Q50-R50</f>
        <v>902.06315000000006</v>
      </c>
      <c r="T50" s="21"/>
      <c r="U50" s="21"/>
      <c r="V50" s="20">
        <f>[5]FP!U42</f>
        <v>1161.41202</v>
      </c>
      <c r="W50" s="20">
        <f>[3]ARMM!V50</f>
        <v>647.18354999999997</v>
      </c>
      <c r="X50" s="21">
        <f>V50-W50</f>
        <v>514.22847000000002</v>
      </c>
      <c r="Y50" s="21">
        <f>X50/W50*100</f>
        <v>79.456356701278949</v>
      </c>
      <c r="Z50" s="21"/>
      <c r="AA50" s="20">
        <f>[6]FP!U42</f>
        <v>8232.0521800000006</v>
      </c>
      <c r="AB50" s="20">
        <f>[3]ARMM!AA50</f>
        <v>50814.620130000003</v>
      </c>
      <c r="AC50" s="21">
        <f>AA50-AB50</f>
        <v>-42582.567950000004</v>
      </c>
      <c r="AD50" s="21">
        <f>AC50/AB50*100</f>
        <v>-83.799835246352757</v>
      </c>
      <c r="AE50" s="21"/>
      <c r="AF50" s="20">
        <f>[7]FP!U42</f>
        <v>7441.7355700000007</v>
      </c>
      <c r="AG50" s="20">
        <f>[3]ARMM!AF50</f>
        <v>5288.6430700000001</v>
      </c>
      <c r="AH50" s="20">
        <f>AF50-AG50</f>
        <v>2153.0925000000007</v>
      </c>
      <c r="AI50" s="20"/>
      <c r="AJ50" s="21"/>
      <c r="AK50" s="21">
        <f>G50+Q50+AA50+AF50</f>
        <v>16575.850900000001</v>
      </c>
      <c r="AL50" s="21">
        <f>H50+R50+AB50+AG50</f>
        <v>56103.263200000001</v>
      </c>
      <c r="AM50" s="20">
        <f>AK50-AL50</f>
        <v>-39527.412299999996</v>
      </c>
      <c r="AN50" s="20">
        <f>AM50/AL50*100</f>
        <v>-70.454747273951796</v>
      </c>
      <c r="AO50" s="21"/>
      <c r="AP50" s="39"/>
      <c r="AQ50" s="39"/>
    </row>
    <row r="51" spans="1:43" ht="15" hidden="1" customHeight="1">
      <c r="A51" s="19" t="s">
        <v>47</v>
      </c>
      <c r="B51" s="20">
        <f>B16</f>
        <v>16475.350460000001</v>
      </c>
      <c r="C51" s="20">
        <v>14690.385460000001</v>
      </c>
      <c r="D51" s="21">
        <v>0</v>
      </c>
      <c r="E51" s="21">
        <v>0</v>
      </c>
      <c r="F51" s="21"/>
      <c r="G51" s="20">
        <f>G16</f>
        <v>0</v>
      </c>
      <c r="H51" s="21">
        <v>0</v>
      </c>
      <c r="I51" s="21">
        <v>0</v>
      </c>
      <c r="J51" s="21">
        <v>0</v>
      </c>
      <c r="K51" s="21"/>
      <c r="L51" s="20">
        <f>L16</f>
        <v>0</v>
      </c>
      <c r="M51" s="21"/>
      <c r="N51" s="21">
        <v>0</v>
      </c>
      <c r="O51" s="21">
        <v>0</v>
      </c>
      <c r="P51" s="21"/>
      <c r="Q51" s="22">
        <f>Q16</f>
        <v>6920.6877999999997</v>
      </c>
      <c r="R51" s="23"/>
      <c r="S51" s="23">
        <v>0</v>
      </c>
      <c r="T51" s="21">
        <v>0</v>
      </c>
      <c r="U51" s="21"/>
      <c r="V51" s="20">
        <f>V16</f>
        <v>1669.2568299999998</v>
      </c>
      <c r="W51" s="20">
        <v>14690.385460000001</v>
      </c>
      <c r="X51" s="21">
        <v>0</v>
      </c>
      <c r="Y51" s="21">
        <v>0</v>
      </c>
      <c r="Z51" s="21"/>
      <c r="AA51" s="20">
        <f>AA16</f>
        <v>17013.64962</v>
      </c>
      <c r="AB51" s="20">
        <v>14690.385460000001</v>
      </c>
      <c r="AC51" s="21">
        <v>-766.4078626999999</v>
      </c>
      <c r="AD51" s="21">
        <v>-5.6726478600134493</v>
      </c>
      <c r="AE51" s="21"/>
      <c r="AF51" s="20">
        <f>AF16</f>
        <v>13117.568760000002</v>
      </c>
      <c r="AG51" s="20">
        <v>14690.385460000001</v>
      </c>
      <c r="AH51" s="20">
        <v>0</v>
      </c>
      <c r="AI51" s="20">
        <v>0</v>
      </c>
      <c r="AJ51" s="21"/>
      <c r="AK51" s="21">
        <f>+AK16</f>
        <v>55196.513469999998</v>
      </c>
      <c r="AL51" s="21">
        <f>+AL16</f>
        <v>51459.889899999995</v>
      </c>
      <c r="AM51" s="20">
        <v>0</v>
      </c>
      <c r="AN51" s="20">
        <v>0</v>
      </c>
      <c r="AO51" s="21"/>
      <c r="AP51" s="39"/>
      <c r="AQ51" s="39"/>
    </row>
    <row r="52" spans="1:43">
      <c r="B52" s="20"/>
      <c r="C52" s="20"/>
      <c r="D52" s="21"/>
      <c r="E52" s="21"/>
      <c r="F52" s="21"/>
      <c r="G52" s="20"/>
      <c r="H52" s="21"/>
      <c r="I52" s="21"/>
      <c r="J52" s="21"/>
      <c r="K52" s="21"/>
      <c r="L52" s="20"/>
      <c r="M52" s="21"/>
      <c r="N52" s="21"/>
      <c r="O52" s="21"/>
      <c r="P52" s="21"/>
      <c r="Q52" s="22"/>
      <c r="R52" s="23"/>
      <c r="S52" s="23"/>
      <c r="T52" s="21"/>
      <c r="U52" s="21"/>
      <c r="V52" s="20"/>
      <c r="W52" s="21"/>
      <c r="X52" s="21"/>
      <c r="Y52" s="21"/>
      <c r="Z52" s="21"/>
      <c r="AA52" s="20"/>
      <c r="AB52" s="21"/>
      <c r="AC52" s="21"/>
      <c r="AD52" s="49"/>
      <c r="AE52" s="21"/>
      <c r="AF52" s="20"/>
      <c r="AG52" s="20"/>
      <c r="AH52" s="20"/>
      <c r="AI52" s="20"/>
      <c r="AJ52" s="21"/>
      <c r="AK52" s="21"/>
      <c r="AL52" s="21"/>
      <c r="AM52" s="20"/>
      <c r="AN52" s="20"/>
      <c r="AO52" s="21"/>
      <c r="AP52" s="39"/>
      <c r="AQ52" s="39"/>
    </row>
    <row r="53" spans="1:43" ht="15.75">
      <c r="A53" s="1" t="s">
        <v>48</v>
      </c>
      <c r="B53" s="20"/>
      <c r="C53" s="20"/>
      <c r="D53" s="21"/>
      <c r="E53" s="21"/>
      <c r="F53" s="21"/>
      <c r="G53" s="20"/>
      <c r="H53" s="21"/>
      <c r="I53" s="21"/>
      <c r="J53" s="21"/>
      <c r="K53" s="21"/>
      <c r="L53" s="20"/>
      <c r="M53" s="21"/>
      <c r="N53" s="21"/>
      <c r="O53" s="21"/>
      <c r="P53" s="21"/>
      <c r="Q53" s="22"/>
      <c r="R53" s="23"/>
      <c r="S53" s="23"/>
      <c r="T53" s="21"/>
      <c r="U53" s="21"/>
      <c r="V53" s="20"/>
      <c r="W53" s="21"/>
      <c r="X53" s="21"/>
      <c r="Y53" s="21"/>
      <c r="Z53" s="21"/>
      <c r="AA53" s="20"/>
      <c r="AB53" s="21"/>
      <c r="AC53" s="21"/>
      <c r="AD53" s="49"/>
      <c r="AE53" s="21"/>
      <c r="AF53" s="20"/>
      <c r="AG53" s="20"/>
      <c r="AH53" s="20"/>
      <c r="AI53" s="20"/>
      <c r="AJ53" s="21"/>
      <c r="AK53" s="21"/>
      <c r="AL53" s="21"/>
      <c r="AM53" s="20"/>
      <c r="AN53" s="20"/>
      <c r="AO53" s="21"/>
      <c r="AP53" s="39"/>
      <c r="AQ53" s="39"/>
    </row>
    <row r="54" spans="1:43" ht="16.5" customHeight="1">
      <c r="A54" s="19" t="s">
        <v>49</v>
      </c>
      <c r="B54" s="20">
        <f>'[9]financial profile(mcso)'!X149</f>
        <v>39493.86808</v>
      </c>
      <c r="C54" s="20">
        <f>[3]ARMM!B54</f>
        <v>26586.69774</v>
      </c>
      <c r="D54" s="21">
        <f>B54-C54</f>
        <v>12907.170340000001</v>
      </c>
      <c r="E54" s="21">
        <f>D54/C54*100</f>
        <v>48.54747462894202</v>
      </c>
      <c r="F54" s="21"/>
      <c r="G54" s="20">
        <f>'[9]financial profile(mcso)'!Y149</f>
        <v>466.35113999999999</v>
      </c>
      <c r="H54" s="20">
        <f>[3]ARMM!G54</f>
        <v>466.35113999999999</v>
      </c>
      <c r="I54" s="21">
        <f>G54-H54</f>
        <v>0</v>
      </c>
      <c r="J54" s="21">
        <f>I54/H54*100</f>
        <v>0</v>
      </c>
      <c r="K54" s="21"/>
      <c r="L54" s="20">
        <f>'[9]financial profile(mcso)'!Z149</f>
        <v>285374.43417999998</v>
      </c>
      <c r="M54" s="20">
        <f>[3]ARMM!L54</f>
        <v>272997.79181999998</v>
      </c>
      <c r="N54" s="21">
        <f>L54-M54</f>
        <v>12376.642359999998</v>
      </c>
      <c r="O54" s="21">
        <f>N54/M54*100</f>
        <v>4.533605300426931</v>
      </c>
      <c r="P54" s="21"/>
      <c r="Q54" s="22">
        <f>'[9]financial profile(mcso)'!AA149</f>
        <v>60958.327969999998</v>
      </c>
      <c r="R54" s="22">
        <f>[3]ARMM!Q54</f>
        <v>57026.681530000002</v>
      </c>
      <c r="S54" s="23">
        <f>Q54-R54</f>
        <v>3931.6464399999968</v>
      </c>
      <c r="T54" s="21">
        <f>S54/R54*100</f>
        <v>6.8943980861514405</v>
      </c>
      <c r="U54" s="21"/>
      <c r="V54" s="20">
        <f>'[9]financial profile(mcso)'!AB149</f>
        <v>8003.4662099999996</v>
      </c>
      <c r="W54" s="20">
        <f>[3]ARMM!V54</f>
        <v>6267.7042300000003</v>
      </c>
      <c r="X54" s="21">
        <f>V54-W54</f>
        <v>1735.7619799999993</v>
      </c>
      <c r="Y54" s="21">
        <f>X54/W54*100</f>
        <v>27.69374425314896</v>
      </c>
      <c r="Z54" s="21"/>
      <c r="AA54" s="20">
        <f>'[9]financial profile(mcso)'!AC149</f>
        <v>50987.755180000007</v>
      </c>
      <c r="AB54" s="20">
        <f>[3]ARMM!AA54</f>
        <v>47317.115180000001</v>
      </c>
      <c r="AC54" s="21">
        <f>AA54-AB54</f>
        <v>3670.6400000000067</v>
      </c>
      <c r="AD54" s="21">
        <f>AC54/AB54*100</f>
        <v>7.7575312570017223</v>
      </c>
      <c r="AE54" s="21"/>
      <c r="AF54" s="20">
        <f>'[9]financial profile(mcso)'!AD149</f>
        <v>47659.969553333336</v>
      </c>
      <c r="AG54" s="20">
        <f>[3]ARMM!AF54</f>
        <v>40973.21039</v>
      </c>
      <c r="AH54" s="20">
        <f>AF54-AG54</f>
        <v>6686.7591633333359</v>
      </c>
      <c r="AI54" s="20">
        <f>AH54/AG54*100</f>
        <v>16.319832152975057</v>
      </c>
      <c r="AJ54" s="21"/>
      <c r="AK54" s="21">
        <f>G54+B54+Q54+V54+AA54+AF54+L54</f>
        <v>492944.17231333331</v>
      </c>
      <c r="AL54" s="21">
        <f>H54+C54+R54+W54+AB54+AG54+M54</f>
        <v>451635.55203000002</v>
      </c>
      <c r="AM54" s="20">
        <f>AK54-AL54</f>
        <v>41308.620283333294</v>
      </c>
      <c r="AN54" s="20">
        <f>AM54/AL54*100</f>
        <v>9.146450074105184</v>
      </c>
      <c r="AO54" s="21"/>
      <c r="AP54" s="39"/>
      <c r="AQ54" s="39"/>
    </row>
    <row r="55" spans="1:43" ht="15" customHeight="1">
      <c r="A55" s="19" t="s">
        <v>50</v>
      </c>
      <c r="B55" s="20">
        <f>'[9]financial profile(mcso)'!X150</f>
        <v>36810.02824</v>
      </c>
      <c r="C55" s="20">
        <f>[3]ARMM!B55</f>
        <v>23905.812239999999</v>
      </c>
      <c r="D55" s="21">
        <f>B55-C55</f>
        <v>12904.216</v>
      </c>
      <c r="E55" s="21">
        <f>D55/C55*100</f>
        <v>53.979408314804033</v>
      </c>
      <c r="F55" s="21"/>
      <c r="G55" s="20">
        <f>'[9]financial profile(mcso)'!Y150</f>
        <v>466.35113999999999</v>
      </c>
      <c r="H55" s="20">
        <f>[3]ARMM!G55</f>
        <v>466.35113999999999</v>
      </c>
      <c r="I55" s="21">
        <f>G55-H55</f>
        <v>0</v>
      </c>
      <c r="J55" s="21">
        <f>I55/H55*100</f>
        <v>0</v>
      </c>
      <c r="K55" s="21"/>
      <c r="L55" s="20">
        <f>'[9]financial profile(mcso)'!Z150</f>
        <v>24513.982640000002</v>
      </c>
      <c r="M55" s="20">
        <f>[3]ARMM!L55</f>
        <v>21813.982640000002</v>
      </c>
      <c r="N55" s="21">
        <f>L55-M55</f>
        <v>2700</v>
      </c>
      <c r="O55" s="21">
        <f>N55/M55*100</f>
        <v>12.377382179854893</v>
      </c>
      <c r="P55" s="21"/>
      <c r="Q55" s="22">
        <f>'[9]financial profile(mcso)'!AA150</f>
        <v>44733.434862999995</v>
      </c>
      <c r="R55" s="22">
        <f>[3]ARMM!Q55</f>
        <v>42175.16476</v>
      </c>
      <c r="S55" s="23">
        <f>Q55-R55</f>
        <v>2558.2701029999953</v>
      </c>
      <c r="T55" s="21">
        <f>S55/R55*100</f>
        <v>6.0658212423305669</v>
      </c>
      <c r="U55" s="21"/>
      <c r="V55" s="20">
        <f>'[9]financial profile(mcso)'!AB150</f>
        <v>8531.6102599999995</v>
      </c>
      <c r="W55" s="20">
        <f>[3]ARMM!V55</f>
        <v>5928.9422599999998</v>
      </c>
      <c r="X55" s="21">
        <f>V55-W55</f>
        <v>2602.6679999999997</v>
      </c>
      <c r="Y55" s="21">
        <f>X55/W55*100</f>
        <v>43.897678301896633</v>
      </c>
      <c r="Z55" s="21"/>
      <c r="AA55" s="20">
        <f>'[9]financial profile(mcso)'!AC150</f>
        <v>52028.969070000006</v>
      </c>
      <c r="AB55" s="20">
        <f>[3]ARMM!AA55</f>
        <v>48358.32907</v>
      </c>
      <c r="AC55" s="21">
        <f>AA55-AB55</f>
        <v>3670.6400000000067</v>
      </c>
      <c r="AD55" s="21">
        <f>AC55/AB55*100</f>
        <v>7.5905021339481253</v>
      </c>
      <c r="AE55" s="21"/>
      <c r="AF55" s="20">
        <f>'[9]financial profile(mcso)'!AD150</f>
        <v>47906.281830000007</v>
      </c>
      <c r="AG55" s="20">
        <f>[3]ARMM!AF55</f>
        <v>41219.661850000004</v>
      </c>
      <c r="AH55" s="20">
        <f>AF55-AG55</f>
        <v>6686.6199800000031</v>
      </c>
      <c r="AI55" s="20">
        <f>AH55/AG55*100</f>
        <v>16.221918569669203</v>
      </c>
      <c r="AJ55" s="21"/>
      <c r="AK55" s="21">
        <f>G55+B55+Q55+V55+AA55+AF55+L55</f>
        <v>214990.65804300003</v>
      </c>
      <c r="AL55" s="21">
        <f>H55+C55+R55+W55+AB55+AG55+M55</f>
        <v>183868.24395999999</v>
      </c>
      <c r="AM55" s="20">
        <f>AK55-AL55</f>
        <v>31122.41408300004</v>
      </c>
      <c r="AN55" s="20">
        <f>AM55/AL55*100</f>
        <v>16.926475944247681</v>
      </c>
      <c r="AO55" s="21"/>
      <c r="AP55" s="39"/>
      <c r="AQ55" s="39"/>
    </row>
    <row r="56" spans="1:43" ht="15" customHeight="1">
      <c r="A56" s="19" t="s">
        <v>51</v>
      </c>
      <c r="B56" s="34">
        <f>'[9]financial profile(mcso)'!X151</f>
        <v>0.83192650835974857</v>
      </c>
      <c r="C56" s="34">
        <f>[3]ARMM!B56</f>
        <v>0.83101073323633157</v>
      </c>
      <c r="D56" s="35">
        <f>B56-C56</f>
        <v>9.157751234170064E-4</v>
      </c>
      <c r="E56" s="21">
        <f>D56/C56*100</f>
        <v>0.11020015588132828</v>
      </c>
      <c r="F56" s="35"/>
      <c r="G56" s="34">
        <f>'[9]financial profile(mcso)'!Y151</f>
        <v>0</v>
      </c>
      <c r="H56" s="34">
        <f>[3]ARMM!G56</f>
        <v>0</v>
      </c>
      <c r="I56" s="35">
        <f>G56-H56</f>
        <v>0</v>
      </c>
      <c r="J56" s="35"/>
      <c r="K56" s="35"/>
      <c r="L56" s="34">
        <f>'[9]financial profile(mcso)'!Z151</f>
        <v>71.935938138355027</v>
      </c>
      <c r="M56" s="34">
        <f>[3]ARMM!L56</f>
        <v>67.952248592186578</v>
      </c>
      <c r="N56" s="35">
        <f>L56-M56</f>
        <v>3.9836895461684492</v>
      </c>
      <c r="O56" s="21">
        <f>N56/M56*100</f>
        <v>5.8624837716209282</v>
      </c>
      <c r="P56" s="35"/>
      <c r="Q56" s="36">
        <f>'[9]financial profile(mcso)'!AA151</f>
        <v>19.827948618083703</v>
      </c>
      <c r="R56" s="36">
        <f>[3]ARMM!Q56</f>
        <v>7.9632498805634517</v>
      </c>
      <c r="S56" s="37">
        <f>Q56-R56</f>
        <v>11.86469873752025</v>
      </c>
      <c r="T56" s="21">
        <f>S56/R56*100</f>
        <v>148.99317383571474</v>
      </c>
      <c r="U56" s="35"/>
      <c r="V56" s="34">
        <f>'[9]financial profile(mcso)'!AB151</f>
        <v>0</v>
      </c>
      <c r="W56" s="34">
        <f>[3]ARMM!V56</f>
        <v>0</v>
      </c>
      <c r="X56" s="35">
        <f>V56-W56</f>
        <v>0</v>
      </c>
      <c r="Y56" s="35"/>
      <c r="Z56" s="35"/>
      <c r="AA56" s="34">
        <f>'[9]financial profile(mcso)'!AC151</f>
        <v>-1.1346401608438845</v>
      </c>
      <c r="AB56" s="34">
        <f>[3]ARMM!AA56</f>
        <v>-1.1346401608438845</v>
      </c>
      <c r="AC56" s="35">
        <f>AA56-AB56</f>
        <v>0</v>
      </c>
      <c r="AD56" s="35">
        <f>AC56/AB56*100</f>
        <v>0</v>
      </c>
      <c r="AE56" s="35"/>
      <c r="AF56" s="34">
        <f>'[9]financial profile(mcso)'!AD151</f>
        <v>-0.17526145718523431</v>
      </c>
      <c r="AG56" s="34">
        <f>[3]ARMM!AF56</f>
        <v>-0.21706574996675454</v>
      </c>
      <c r="AH56" s="34">
        <f>AF56-AG56</f>
        <v>4.180429278152023E-2</v>
      </c>
      <c r="AI56" s="20">
        <f>AH56/AG56*100</f>
        <v>-19.258815721928915</v>
      </c>
      <c r="AJ56" s="35"/>
      <c r="AK56" s="34">
        <f>+'[9]financial profile(mcso)'!$I$156</f>
        <v>26.689503067462116</v>
      </c>
      <c r="AL56" s="35">
        <f>+'[10]financial profile(mcso)'!$I$156</f>
        <v>23.777810755141463</v>
      </c>
      <c r="AM56" s="34">
        <f>AK56-AL56</f>
        <v>2.9116923123206533</v>
      </c>
      <c r="AN56" s="20">
        <f>AM56/AL56*100</f>
        <v>12.245417975206401</v>
      </c>
      <c r="AO56" s="35"/>
    </row>
    <row r="57" spans="1:43" ht="15" customHeight="1">
      <c r="A57" s="19" t="s">
        <v>52</v>
      </c>
      <c r="B57" s="20">
        <f>'[9]financial profile(mcso)'!X152</f>
        <v>2683.8398400000005</v>
      </c>
      <c r="C57" s="20">
        <f>[3]ARMM!B57</f>
        <v>2680.8855000000003</v>
      </c>
      <c r="D57" s="21">
        <f>B57-C57</f>
        <v>2.9543400000002293</v>
      </c>
      <c r="E57" s="21">
        <f>D57/C57*100</f>
        <v>0.11020015588133954</v>
      </c>
      <c r="F57" s="21"/>
      <c r="G57" s="20">
        <f>'[9]financial profile(mcso)'!Y152</f>
        <v>0</v>
      </c>
      <c r="H57" s="20">
        <f>[3]ARMM!G57</f>
        <v>0</v>
      </c>
      <c r="I57" s="21">
        <f>G57-H57</f>
        <v>0</v>
      </c>
      <c r="J57" s="21"/>
      <c r="K57" s="21"/>
      <c r="L57" s="20">
        <f>'[9]financial profile(mcso)'!Z152</f>
        <v>260860.45153999998</v>
      </c>
      <c r="M57" s="20">
        <f>[3]ARMM!L57</f>
        <v>251183.80917999998</v>
      </c>
      <c r="N57" s="21">
        <f>L57-M57</f>
        <v>9676.642359999998</v>
      </c>
      <c r="O57" s="21">
        <f>N57/M57*100</f>
        <v>3.8524148477522493</v>
      </c>
      <c r="P57" s="21"/>
      <c r="Q57" s="22">
        <f>'[9]financial profile(mcso)'!AA152</f>
        <v>16224.893107000004</v>
      </c>
      <c r="R57" s="22">
        <f>[3]ARMM!Q57</f>
        <v>14851.516770000002</v>
      </c>
      <c r="S57" s="23">
        <f>Q57-R57</f>
        <v>1373.3763370000015</v>
      </c>
      <c r="T57" s="21">
        <f>S57/R57*100</f>
        <v>9.2473809797947073</v>
      </c>
      <c r="U57" s="21"/>
      <c r="V57" s="20">
        <f>'[9]financial profile(mcso)'!AB152</f>
        <v>-528.14404999999988</v>
      </c>
      <c r="W57" s="20">
        <f>[3]ARMM!V57</f>
        <v>338.76197000000047</v>
      </c>
      <c r="X57" s="21">
        <f>V57-W57</f>
        <v>-866.90602000000035</v>
      </c>
      <c r="Y57" s="21">
        <f>X57/W57*100</f>
        <v>-255.90417365916224</v>
      </c>
      <c r="Z57" s="21"/>
      <c r="AA57" s="20">
        <f>'[9]financial profile(mcso)'!AC152</f>
        <v>-1041.2138899999991</v>
      </c>
      <c r="AB57" s="20">
        <f>[3]ARMM!AA57</f>
        <v>-1041.2138899999991</v>
      </c>
      <c r="AC57" s="21">
        <f>AA57-AB57</f>
        <v>0</v>
      </c>
      <c r="AD57" s="21">
        <f>AC57/AB57*100</f>
        <v>0</v>
      </c>
      <c r="AE57" s="21"/>
      <c r="AF57" s="20">
        <f>'[9]financial profile(mcso)'!AD152</f>
        <v>-246.3122766666711</v>
      </c>
      <c r="AG57" s="20">
        <f>[3]ARMM!AF57</f>
        <v>-246.45146000000386</v>
      </c>
      <c r="AH57" s="20">
        <f>AF57-AG57</f>
        <v>0.13918333333276678</v>
      </c>
      <c r="AI57" s="20">
        <f>AH57/AG57*100</f>
        <v>-5.6474947777856381E-2</v>
      </c>
      <c r="AJ57" s="21"/>
      <c r="AK57" s="21">
        <f>G57+B57+Q57+V57+AA57+AF57+L57</f>
        <v>277953.51427033334</v>
      </c>
      <c r="AL57" s="21">
        <f>H57+C57+R57+W57+AB57+AG57+M57</f>
        <v>267767.30806999997</v>
      </c>
      <c r="AM57" s="20">
        <f>AK57-AL57</f>
        <v>10186.20620033337</v>
      </c>
      <c r="AN57" s="20">
        <f>AM57/AL57*100</f>
        <v>3.8041261548144196</v>
      </c>
      <c r="AO57" s="21"/>
    </row>
    <row r="58" spans="1:43" ht="15" customHeight="1">
      <c r="A58" s="19" t="s">
        <v>53</v>
      </c>
      <c r="B58" s="20">
        <f>'[9]financial profile(mcso)'!X153</f>
        <v>81709.453730000008</v>
      </c>
      <c r="C58" s="20">
        <f>[3]ARMM!B58</f>
        <v>91827.69339</v>
      </c>
      <c r="D58" s="21">
        <f>B58-C58</f>
        <v>-10118.239659999992</v>
      </c>
      <c r="E58" s="21">
        <f>D58/C58*100</f>
        <v>-11.018723531502603</v>
      </c>
      <c r="F58" s="21"/>
      <c r="G58" s="20">
        <f>'[9]financial profile(mcso)'!Y153</f>
        <v>0</v>
      </c>
      <c r="H58" s="20">
        <f>[3]ARMM!G58</f>
        <v>0</v>
      </c>
      <c r="I58" s="21">
        <f>G58-H58</f>
        <v>0</v>
      </c>
      <c r="J58" s="21"/>
      <c r="K58" s="21"/>
      <c r="L58" s="20">
        <f>'[9]financial profile(mcso)'!Z153</f>
        <v>284488.16161000001</v>
      </c>
      <c r="M58" s="20">
        <f>[3]ARMM!L58</f>
        <v>278659.45525</v>
      </c>
      <c r="N58" s="21">
        <f>L58-M58</f>
        <v>5828.706360000011</v>
      </c>
      <c r="O58" s="21">
        <f>N58/M58*100</f>
        <v>2.0916951677705584</v>
      </c>
      <c r="P58" s="21"/>
      <c r="Q58" s="22">
        <f>'[9]financial profile(mcso)'!AA153</f>
        <v>27779.594287000004</v>
      </c>
      <c r="R58" s="22">
        <f>[3]ARMM!Q58</f>
        <v>29060.42095</v>
      </c>
      <c r="S58" s="23">
        <f>Q58-R58</f>
        <v>-1280.8266629999962</v>
      </c>
      <c r="T58" s="21">
        <f>S58/R58*100</f>
        <v>-4.4074608045207828</v>
      </c>
      <c r="U58" s="21"/>
      <c r="V58" s="20">
        <f>'[9]financial profile(mcso)'!AB153</f>
        <v>12895.67195</v>
      </c>
      <c r="W58" s="20">
        <f>[3]ARMM!V58</f>
        <v>12056.821970000001</v>
      </c>
      <c r="X58" s="21">
        <f>V58-W58</f>
        <v>838.84997999999905</v>
      </c>
      <c r="Y58" s="21">
        <f>X58/W58*100</f>
        <v>6.9574717291773949</v>
      </c>
      <c r="Z58" s="21"/>
      <c r="AA58" s="20">
        <f>'[9]financial profile(mcso)'!AC153</f>
        <v>20332.14011</v>
      </c>
      <c r="AB58" s="20">
        <f>[3]ARMM!AA58</f>
        <v>23026.130109999998</v>
      </c>
      <c r="AC58" s="21">
        <f>AA58-AB58</f>
        <v>-2693.989999999998</v>
      </c>
      <c r="AD58" s="21">
        <f>AC58/AB58*100</f>
        <v>-11.699708058324692</v>
      </c>
      <c r="AE58" s="21"/>
      <c r="AF58" s="20">
        <f>'[9]financial profile(mcso)'!AD153</f>
        <v>39154.392053333337</v>
      </c>
      <c r="AG58" s="20">
        <f>[3]ARMM!AF58</f>
        <v>33555.329210000004</v>
      </c>
      <c r="AH58" s="20">
        <f>AF58-AG58</f>
        <v>5599.0628433333331</v>
      </c>
      <c r="AI58" s="20">
        <f>AH58/AG58*100</f>
        <v>16.68606142497546</v>
      </c>
      <c r="AJ58" s="21"/>
      <c r="AK58" s="21">
        <f>G58+B58+Q58+V58+AA58+AF58+L58</f>
        <v>466359.4137403334</v>
      </c>
      <c r="AL58" s="21">
        <f>H58+C58+R58+W58+AB58+AG58+M58</f>
        <v>468185.85087999998</v>
      </c>
      <c r="AM58" s="20">
        <f>AK58-AL58</f>
        <v>-1826.4371396665811</v>
      </c>
      <c r="AN58" s="20">
        <f>AM58/AL58*100</f>
        <v>-0.39010942689396061</v>
      </c>
      <c r="AO58" s="21"/>
    </row>
    <row r="59" spans="1:43" ht="12" customHeight="1">
      <c r="B59" s="20"/>
      <c r="C59" s="20"/>
      <c r="D59" s="21"/>
      <c r="E59" s="21"/>
      <c r="F59" s="21"/>
      <c r="G59" s="20"/>
      <c r="H59" s="21"/>
      <c r="I59" s="21"/>
      <c r="J59" s="21"/>
      <c r="K59" s="21"/>
      <c r="L59" s="20"/>
      <c r="M59" s="21"/>
      <c r="N59" s="21"/>
      <c r="O59" s="21"/>
      <c r="P59" s="21"/>
      <c r="Q59" s="22"/>
      <c r="R59" s="23"/>
      <c r="S59" s="23"/>
      <c r="T59" s="21"/>
      <c r="U59" s="21"/>
      <c r="V59" s="20"/>
      <c r="W59" s="21"/>
      <c r="X59" s="21"/>
      <c r="Y59" s="21"/>
      <c r="Z59" s="21"/>
      <c r="AA59" s="20"/>
      <c r="AB59" s="21"/>
      <c r="AC59" s="49"/>
      <c r="AD59" s="49"/>
      <c r="AE59" s="21"/>
      <c r="AF59" s="20"/>
      <c r="AG59" s="20"/>
      <c r="AH59" s="20"/>
      <c r="AI59" s="20"/>
      <c r="AJ59" s="21"/>
      <c r="AK59" s="21"/>
      <c r="AL59" s="21"/>
      <c r="AM59" s="20"/>
      <c r="AN59" s="20"/>
      <c r="AO59" s="21"/>
    </row>
    <row r="60" spans="1:43" ht="15.75">
      <c r="A60" s="1" t="s">
        <v>54</v>
      </c>
      <c r="B60" s="50"/>
      <c r="C60" s="50"/>
      <c r="D60" s="21"/>
      <c r="E60" s="21"/>
      <c r="F60" s="21"/>
      <c r="G60" s="50"/>
      <c r="H60" s="21"/>
      <c r="I60" s="21"/>
      <c r="J60" s="21"/>
      <c r="K60" s="21"/>
      <c r="L60" s="50"/>
      <c r="M60" s="21"/>
      <c r="N60" s="21"/>
      <c r="O60" s="21"/>
      <c r="P60" s="21"/>
      <c r="Q60" s="51"/>
      <c r="R60" s="23"/>
      <c r="S60" s="23"/>
      <c r="T60" s="21"/>
      <c r="U60" s="21"/>
      <c r="V60" s="50"/>
      <c r="W60" s="21"/>
      <c r="X60" s="21"/>
      <c r="Y60" s="21"/>
      <c r="Z60" s="21"/>
      <c r="AA60" s="50"/>
      <c r="AB60" s="21"/>
      <c r="AC60" s="21"/>
      <c r="AD60" s="49"/>
      <c r="AE60" s="21"/>
      <c r="AF60" s="50"/>
      <c r="AG60" s="20"/>
      <c r="AH60" s="20"/>
      <c r="AI60" s="20"/>
      <c r="AJ60" s="21"/>
      <c r="AK60" s="21"/>
      <c r="AL60" s="21"/>
      <c r="AM60" s="20"/>
      <c r="AN60" s="20"/>
      <c r="AO60" s="21"/>
    </row>
    <row r="61" spans="1:43">
      <c r="B61" s="50"/>
      <c r="C61" s="50"/>
      <c r="D61" s="21"/>
      <c r="E61" s="21"/>
      <c r="F61" s="21"/>
      <c r="G61" s="50"/>
      <c r="H61" s="21"/>
      <c r="I61" s="21"/>
      <c r="J61" s="21"/>
      <c r="K61" s="21"/>
      <c r="L61" s="50"/>
      <c r="M61" s="21"/>
      <c r="N61" s="21"/>
      <c r="O61" s="21"/>
      <c r="P61" s="21"/>
      <c r="Q61" s="51"/>
      <c r="R61" s="23"/>
      <c r="S61" s="23"/>
      <c r="T61" s="21"/>
      <c r="U61" s="21"/>
      <c r="V61" s="50"/>
      <c r="W61" s="21"/>
      <c r="X61" s="21"/>
      <c r="Y61" s="21"/>
      <c r="Z61" s="21"/>
      <c r="AA61" s="50"/>
      <c r="AB61" s="21"/>
      <c r="AC61" s="49"/>
      <c r="AD61" s="49"/>
      <c r="AE61" s="21"/>
      <c r="AF61" s="50"/>
      <c r="AG61" s="20"/>
      <c r="AH61" s="20"/>
      <c r="AI61" s="20"/>
      <c r="AJ61" s="21"/>
      <c r="AK61" s="21"/>
      <c r="AL61" s="21"/>
      <c r="AM61" s="20"/>
      <c r="AN61" s="20"/>
      <c r="AO61" s="21"/>
    </row>
    <row r="62" spans="1:43" s="17" customFormat="1" ht="15" customHeight="1">
      <c r="A62" s="52" t="s">
        <v>55</v>
      </c>
      <c r="B62" s="23">
        <v>53985</v>
      </c>
      <c r="C62" s="22">
        <v>48638</v>
      </c>
      <c r="D62" s="23">
        <f>B62-C62</f>
        <v>5347</v>
      </c>
      <c r="E62" s="23">
        <f>D62/C62*100</f>
        <v>10.993461902216374</v>
      </c>
      <c r="F62" s="23"/>
      <c r="G62" s="37"/>
      <c r="H62" s="23">
        <v>2086.2800000000002</v>
      </c>
      <c r="I62" s="23">
        <f t="shared" ref="I62:I67" si="14">G62-H62</f>
        <v>-2086.2800000000002</v>
      </c>
      <c r="J62" s="23">
        <f t="shared" ref="J62:J67" si="15">I62/H62*100</f>
        <v>-100</v>
      </c>
      <c r="K62" s="23"/>
      <c r="L62" s="23">
        <f>+[11]LASURECO!$O$56/1000</f>
        <v>190829.26500000001</v>
      </c>
      <c r="M62" s="53">
        <f>+[12]LASURECO!$O$47/1000</f>
        <v>182195.97399999999</v>
      </c>
      <c r="N62" s="23">
        <f>L62-M62</f>
        <v>8633.2910000000265</v>
      </c>
      <c r="O62" s="23">
        <f>N62/M62*100</f>
        <v>4.7384641989948841</v>
      </c>
      <c r="P62" s="23"/>
      <c r="Q62" s="23">
        <v>126711</v>
      </c>
      <c r="R62" s="53">
        <f>+[12]MAGELCO!$O$57/1000</f>
        <v>111471.440762</v>
      </c>
      <c r="S62" s="23">
        <f>Q62-R62</f>
        <v>15239.559238000002</v>
      </c>
      <c r="T62" s="23">
        <f>S62/R62*100</f>
        <v>13.671267845669654</v>
      </c>
      <c r="U62" s="23"/>
      <c r="V62" s="23">
        <v>4865.8932999999997</v>
      </c>
      <c r="W62" s="23">
        <v>4600</v>
      </c>
      <c r="X62" s="22">
        <f t="shared" ref="X62:X67" si="16">V62-W62</f>
        <v>265.89329999999973</v>
      </c>
      <c r="Y62" s="22">
        <f t="shared" ref="Y62:Y67" si="17">X62/W62*100</f>
        <v>5.7802891304347765</v>
      </c>
      <c r="Z62" s="23"/>
      <c r="AA62" s="23">
        <v>51021</v>
      </c>
      <c r="AB62" s="22">
        <v>47608</v>
      </c>
      <c r="AC62" s="23">
        <f>AA62-AB62</f>
        <v>3413</v>
      </c>
      <c r="AD62" s="23">
        <f>AC62/AB62*100</f>
        <v>7.1689631994622749</v>
      </c>
      <c r="AE62" s="23"/>
      <c r="AF62" s="23">
        <v>40219</v>
      </c>
      <c r="AG62" s="23">
        <v>39001.382700000002</v>
      </c>
      <c r="AH62" s="22">
        <f>AF62-AG62</f>
        <v>1217.6172999999981</v>
      </c>
      <c r="AI62" s="22">
        <f>AH62/AG62*100</f>
        <v>3.1219849546513592</v>
      </c>
      <c r="AJ62" s="23"/>
      <c r="AK62" s="23">
        <f t="shared" ref="AK62:AL64" si="18">G62+B62+Q62+V62+AA62+AF62+L62</f>
        <v>467631.15830000001</v>
      </c>
      <c r="AL62" s="23">
        <f t="shared" si="18"/>
        <v>435601.07746200002</v>
      </c>
      <c r="AM62" s="22">
        <f>AK62-AL62</f>
        <v>32030.080837999994</v>
      </c>
      <c r="AN62" s="22">
        <f>AM62/AL62*100</f>
        <v>7.3530765866377275</v>
      </c>
      <c r="AO62" s="23"/>
      <c r="AP62" s="54"/>
    </row>
    <row r="63" spans="1:43" s="17" customFormat="1" ht="15" customHeight="1">
      <c r="A63" s="52" t="s">
        <v>56</v>
      </c>
      <c r="B63" s="23">
        <v>39652</v>
      </c>
      <c r="C63" s="22">
        <v>36558</v>
      </c>
      <c r="D63" s="23">
        <f>B63-C63</f>
        <v>3094</v>
      </c>
      <c r="E63" s="23">
        <f>D63/C63*100</f>
        <v>8.4632638546966472</v>
      </c>
      <c r="F63" s="23"/>
      <c r="G63" s="37"/>
      <c r="H63" s="23">
        <v>1921.0336000000002</v>
      </c>
      <c r="I63" s="23">
        <f t="shared" si="14"/>
        <v>-1921.0336000000002</v>
      </c>
      <c r="J63" s="23">
        <f t="shared" si="15"/>
        <v>-100</v>
      </c>
      <c r="K63" s="23"/>
      <c r="L63" s="23">
        <f>+[11]LASURECO!$O$58/1000</f>
        <v>134728.81299999999</v>
      </c>
      <c r="M63" s="23">
        <f>+[12]LASURECO!$O$49/1000</f>
        <v>107004.25715999999</v>
      </c>
      <c r="N63" s="23">
        <f>L63-M63</f>
        <v>27724.555840000001</v>
      </c>
      <c r="O63" s="23">
        <f>N63/M63*100</f>
        <v>25.909768990353694</v>
      </c>
      <c r="P63" s="23"/>
      <c r="Q63" s="23">
        <v>56900</v>
      </c>
      <c r="R63" s="23">
        <f>+[12]MAGELCO!$O$49/1000</f>
        <v>57087.165999999997</v>
      </c>
      <c r="S63" s="23">
        <f>Q63-R63</f>
        <v>-187.16599999999744</v>
      </c>
      <c r="T63" s="23">
        <f>S63/R63*100</f>
        <v>-0.32786003074666109</v>
      </c>
      <c r="U63" s="23"/>
      <c r="V63" s="23">
        <v>4224.0330000000004</v>
      </c>
      <c r="W63" s="23">
        <v>4022</v>
      </c>
      <c r="X63" s="22">
        <f t="shared" si="16"/>
        <v>202.03300000000036</v>
      </c>
      <c r="Y63" s="22">
        <f t="shared" si="17"/>
        <v>5.023197414221789</v>
      </c>
      <c r="Z63" s="23"/>
      <c r="AA63" s="23">
        <v>46378</v>
      </c>
      <c r="AB63" s="22">
        <v>43505</v>
      </c>
      <c r="AC63" s="23">
        <f>AA63-AB63</f>
        <v>2873</v>
      </c>
      <c r="AD63" s="23">
        <f>AC63/AB63*100</f>
        <v>6.6038386392368693</v>
      </c>
      <c r="AE63" s="23"/>
      <c r="AF63" s="23">
        <v>30588</v>
      </c>
      <c r="AG63" s="23">
        <v>33565.423000000003</v>
      </c>
      <c r="AH63" s="22">
        <f>AF63-AG63</f>
        <v>-2977.4230000000025</v>
      </c>
      <c r="AI63" s="22">
        <f>AH63/AG63*100</f>
        <v>-8.8705064136984131</v>
      </c>
      <c r="AJ63" s="23"/>
      <c r="AK63" s="23">
        <f t="shared" si="18"/>
        <v>312470.84600000002</v>
      </c>
      <c r="AL63" s="23">
        <f t="shared" si="18"/>
        <v>283662.87975999998</v>
      </c>
      <c r="AM63" s="22">
        <f>AK63-AL63</f>
        <v>28807.966240000038</v>
      </c>
      <c r="AN63" s="22">
        <f>AM63/AL63*100</f>
        <v>10.155705344447512</v>
      </c>
      <c r="AO63" s="23"/>
      <c r="AP63" s="54"/>
    </row>
    <row r="64" spans="1:43" s="17" customFormat="1" ht="15" customHeight="1">
      <c r="A64" s="52" t="s">
        <v>57</v>
      </c>
      <c r="B64" s="23">
        <v>142</v>
      </c>
      <c r="C64" s="22">
        <v>162</v>
      </c>
      <c r="D64" s="23">
        <f>B64-C64</f>
        <v>-20</v>
      </c>
      <c r="E64" s="23">
        <f>D64/C64*100</f>
        <v>-12.345679012345679</v>
      </c>
      <c r="F64" s="23"/>
      <c r="G64" s="37"/>
      <c r="H64" s="23">
        <v>6.843</v>
      </c>
      <c r="I64" s="23">
        <f t="shared" si="14"/>
        <v>-6.843</v>
      </c>
      <c r="J64" s="23">
        <f t="shared" si="15"/>
        <v>-100</v>
      </c>
      <c r="K64" s="23"/>
      <c r="L64" s="23">
        <f>+[11]LASURECO!$O$59/1000</f>
        <v>65.179000000000002</v>
      </c>
      <c r="M64" s="23">
        <f>+[12]LASURECO!$O$50/1000</f>
        <v>63.259</v>
      </c>
      <c r="N64" s="23">
        <f>L64-M64</f>
        <v>1.9200000000000017</v>
      </c>
      <c r="O64" s="23">
        <f>N64/M64*100</f>
        <v>3.0351412447240733</v>
      </c>
      <c r="P64" s="23"/>
      <c r="Q64" s="23">
        <v>47</v>
      </c>
      <c r="R64" s="23">
        <f>+[12]MAGELCO!$O$50/1000</f>
        <v>836.50937999999985</v>
      </c>
      <c r="S64" s="23">
        <f>Q64-R64</f>
        <v>-789.50937999999985</v>
      </c>
      <c r="T64" s="23">
        <f>S64/R64*100</f>
        <v>-94.381413870099095</v>
      </c>
      <c r="U64" s="23"/>
      <c r="V64" s="23">
        <v>47.545000000000002</v>
      </c>
      <c r="W64" s="23">
        <v>47</v>
      </c>
      <c r="X64" s="22">
        <f t="shared" si="16"/>
        <v>0.54500000000000171</v>
      </c>
      <c r="Y64" s="22">
        <f t="shared" si="17"/>
        <v>1.1595744680851099</v>
      </c>
      <c r="Z64" s="23"/>
      <c r="AA64" s="23">
        <v>247</v>
      </c>
      <c r="AB64" s="22">
        <v>245</v>
      </c>
      <c r="AC64" s="23">
        <f>AA64-AB64</f>
        <v>2</v>
      </c>
      <c r="AD64" s="23">
        <f>AC64/AB64*100</f>
        <v>0.81632653061224492</v>
      </c>
      <c r="AE64" s="23"/>
      <c r="AF64" s="23">
        <v>41</v>
      </c>
      <c r="AG64" s="23">
        <v>44.72</v>
      </c>
      <c r="AH64" s="22">
        <f>AF64-AG64</f>
        <v>-3.7199999999999989</v>
      </c>
      <c r="AI64" s="22">
        <f>AH64/AG64*100</f>
        <v>-8.3184257602862228</v>
      </c>
      <c r="AJ64" s="23"/>
      <c r="AK64" s="23">
        <f t="shared" si="18"/>
        <v>589.72400000000005</v>
      </c>
      <c r="AL64" s="23">
        <f t="shared" si="18"/>
        <v>1405.3313799999999</v>
      </c>
      <c r="AM64" s="22">
        <f>AK64-AL64</f>
        <v>-815.60737999999981</v>
      </c>
      <c r="AN64" s="22">
        <f>AM64/AL64*100</f>
        <v>-58.036658940896913</v>
      </c>
      <c r="AO64" s="23"/>
      <c r="AP64" s="54"/>
    </row>
    <row r="65" spans="1:45" s="17" customFormat="1" ht="15" customHeight="1">
      <c r="A65" s="52" t="s">
        <v>58</v>
      </c>
      <c r="B65" s="36">
        <f>(B62-B63-B64)/B62*100</f>
        <v>26.286931555061592</v>
      </c>
      <c r="C65" s="36">
        <f>(C62-C63-C64)/C62*100</f>
        <v>24.503474649451046</v>
      </c>
      <c r="D65" s="37"/>
      <c r="E65" s="37">
        <f>B65-C65</f>
        <v>1.7834569056105458</v>
      </c>
      <c r="F65" s="37"/>
      <c r="G65" s="36" t="e">
        <f>(G62-G63-G64)/G62*100</f>
        <v>#DIV/0!</v>
      </c>
      <c r="H65" s="36">
        <f>(H62-H63-H64)/H62*100</f>
        <v>7.5926241923423508</v>
      </c>
      <c r="I65" s="37" t="e">
        <f t="shared" si="14"/>
        <v>#DIV/0!</v>
      </c>
      <c r="J65" s="37" t="e">
        <f t="shared" si="15"/>
        <v>#DIV/0!</v>
      </c>
      <c r="K65" s="37"/>
      <c r="L65" s="36">
        <f>(L62-L63-L64)/L62*100</f>
        <v>29.364087840510216</v>
      </c>
      <c r="M65" s="36">
        <f>(M62-M63-M64)/M62*100</f>
        <v>41.234971437952844</v>
      </c>
      <c r="N65" s="37"/>
      <c r="O65" s="37">
        <f>L65-M65</f>
        <v>-11.870883597442628</v>
      </c>
      <c r="P65" s="37"/>
      <c r="Q65" s="36">
        <f>(Q62-Q63-Q64)/Q62*100</f>
        <v>55.057571955078878</v>
      </c>
      <c r="R65" s="36">
        <f>(R62-R63-R64)/R62*100</f>
        <v>48.037205777512597</v>
      </c>
      <c r="S65" s="37"/>
      <c r="T65" s="37">
        <f>Q65-R65</f>
        <v>7.0203661775662809</v>
      </c>
      <c r="U65" s="37"/>
      <c r="V65" s="36">
        <f>(V62-V63-V64)/V62*100</f>
        <v>12.213899141602621</v>
      </c>
      <c r="W65" s="36">
        <f>(W62-W63-W64)/W62*100</f>
        <v>11.543478260869565</v>
      </c>
      <c r="X65" s="36">
        <f t="shared" si="16"/>
        <v>0.67042088073305628</v>
      </c>
      <c r="Y65" s="36">
        <f t="shared" si="17"/>
        <v>5.80778917395868</v>
      </c>
      <c r="Z65" s="37"/>
      <c r="AA65" s="36">
        <f>(AA62-AA63-AA64)/AA62*100</f>
        <v>8.6160600537033769</v>
      </c>
      <c r="AB65" s="36">
        <f>(AB62-AB63-AB64)/AB62*100</f>
        <v>8.1036800537724751</v>
      </c>
      <c r="AC65" s="37"/>
      <c r="AD65" s="37">
        <f>AA65-AB65</f>
        <v>0.51237999993090177</v>
      </c>
      <c r="AE65" s="37"/>
      <c r="AF65" s="36">
        <f>(AF62-AF63-AF64)/AF62*100</f>
        <v>23.844451627340312</v>
      </c>
      <c r="AG65" s="36">
        <f>(AG62-AG63-AG64)/AG62*100</f>
        <v>13.823201452803874</v>
      </c>
      <c r="AH65" s="36"/>
      <c r="AI65" s="36">
        <f>AF65-AG65</f>
        <v>10.021250174536439</v>
      </c>
      <c r="AJ65" s="37"/>
      <c r="AK65" s="37">
        <f>SUM(AK62-AK63-AK64)/AK62*100</f>
        <v>33.053954073958039</v>
      </c>
      <c r="AL65" s="37">
        <f>SUM(AL62-AL63-AL64)/AL62*100</f>
        <v>34.557505504593685</v>
      </c>
      <c r="AM65" s="36"/>
      <c r="AN65" s="36">
        <f>AK65-AL65</f>
        <v>-1.5035514306356461</v>
      </c>
      <c r="AO65" s="37"/>
      <c r="AP65" s="54"/>
    </row>
    <row r="66" spans="1:45" s="17" customFormat="1" ht="15" customHeight="1">
      <c r="A66" s="52" t="s">
        <v>59</v>
      </c>
      <c r="B66" s="36">
        <f>B15/(B63+B64)</f>
        <v>11.957323864401669</v>
      </c>
      <c r="C66" s="36">
        <f>C15/(C63+C64)</f>
        <v>11.193906748366013</v>
      </c>
      <c r="D66" s="37">
        <f>B66-C66</f>
        <v>0.76341711603565621</v>
      </c>
      <c r="E66" s="37">
        <f>D66/C66*100</f>
        <v>6.8199345697344951</v>
      </c>
      <c r="F66" s="37"/>
      <c r="G66" s="36" t="e">
        <f>G15/(G63+G64)</f>
        <v>#DIV/0!</v>
      </c>
      <c r="H66" s="37">
        <f>[13]ARMM!G61</f>
        <v>0</v>
      </c>
      <c r="I66" s="37" t="e">
        <f t="shared" si="14"/>
        <v>#DIV/0!</v>
      </c>
      <c r="J66" s="37" t="e">
        <f t="shared" si="15"/>
        <v>#DIV/0!</v>
      </c>
      <c r="K66" s="37"/>
      <c r="L66" s="36">
        <f>L15/(L63+L64)</f>
        <v>0</v>
      </c>
      <c r="M66" s="37">
        <f>[13]ARMM!L61</f>
        <v>0</v>
      </c>
      <c r="N66" s="37">
        <f>L66-M66</f>
        <v>0</v>
      </c>
      <c r="O66" s="37" t="e">
        <f>N66/M66*100</f>
        <v>#DIV/0!</v>
      </c>
      <c r="P66" s="37"/>
      <c r="Q66" s="36">
        <f>Q15/(Q63+Q64)</f>
        <v>6.7521860229687256</v>
      </c>
      <c r="R66" s="36">
        <f>R15/(R63+R64)</f>
        <v>6.590281297339871</v>
      </c>
      <c r="S66" s="37">
        <f>Q66-R66</f>
        <v>0.16190472562885461</v>
      </c>
      <c r="T66" s="37">
        <f t="shared" ref="T66:T67" si="19">Q66-R66</f>
        <v>0.16190472562885461</v>
      </c>
      <c r="U66" s="37"/>
      <c r="V66" s="36">
        <f>V15/(V63+V64)</f>
        <v>11.207458646429961</v>
      </c>
      <c r="W66" s="36">
        <f>W15/(W63+W64)</f>
        <v>10.753602531334479</v>
      </c>
      <c r="X66" s="36">
        <f t="shared" si="16"/>
        <v>0.45385611509548163</v>
      </c>
      <c r="Y66" s="36">
        <f t="shared" si="17"/>
        <v>4.2205029781694918</v>
      </c>
      <c r="Z66" s="37"/>
      <c r="AA66" s="36">
        <f>AA15/(AA63+AA64)</f>
        <v>10.989868934691689</v>
      </c>
      <c r="AB66" s="36">
        <f>AB15/(AB63+AB64)</f>
        <v>10.053998743314287</v>
      </c>
      <c r="AC66" s="37">
        <f>AA66-AB66</f>
        <v>0.93587019137740235</v>
      </c>
      <c r="AD66" s="37">
        <f>AC66/AB66*100</f>
        <v>9.3084375209389982</v>
      </c>
      <c r="AE66" s="37"/>
      <c r="AF66" s="36">
        <f>AF15/(AF63+AF64)</f>
        <v>11.54167263606386</v>
      </c>
      <c r="AG66" s="36">
        <f>AG15/(AG63+AG64)</f>
        <v>11.257647135271039</v>
      </c>
      <c r="AH66" s="36">
        <f>AF66-AG66</f>
        <v>0.2840255007928203</v>
      </c>
      <c r="AI66" s="36">
        <f>AH66/AG66*100</f>
        <v>2.5229561504281603</v>
      </c>
      <c r="AJ66" s="37"/>
      <c r="AK66" s="37">
        <f>AK15/(AK63+AK64)</f>
        <v>5.6670584460700359</v>
      </c>
      <c r="AL66" s="37">
        <f>AL15/(AL63+AL64)</f>
        <v>5.8047986041394433</v>
      </c>
      <c r="AM66" s="36">
        <f>AK66-AL66</f>
        <v>-0.13774015806940731</v>
      </c>
      <c r="AN66" s="36">
        <f>AM66/AL66*100</f>
        <v>-2.3728671305010276</v>
      </c>
      <c r="AO66" s="37"/>
      <c r="AP66" s="55"/>
    </row>
    <row r="67" spans="1:45" s="17" customFormat="1" ht="15" customHeight="1">
      <c r="A67" s="52" t="s">
        <v>60</v>
      </c>
      <c r="B67" s="36">
        <f>B24/B62</f>
        <v>6.7273399922200605</v>
      </c>
      <c r="C67" s="36">
        <f>C24/C62</f>
        <v>6.2519264402319168</v>
      </c>
      <c r="D67" s="37">
        <f>B67-C67</f>
        <v>0.47541355198814372</v>
      </c>
      <c r="E67" s="37">
        <f>D67/C67*100</f>
        <v>7.604272963430903</v>
      </c>
      <c r="F67" s="37"/>
      <c r="G67" s="36" t="e">
        <f>G24/G62</f>
        <v>#DIV/0!</v>
      </c>
      <c r="H67" s="37">
        <f>[13]ARMM!G62</f>
        <v>0</v>
      </c>
      <c r="I67" s="37" t="e">
        <f t="shared" si="14"/>
        <v>#DIV/0!</v>
      </c>
      <c r="J67" s="37" t="e">
        <f t="shared" si="15"/>
        <v>#DIV/0!</v>
      </c>
      <c r="K67" s="37"/>
      <c r="L67" s="36">
        <f>L24/L62</f>
        <v>0</v>
      </c>
      <c r="M67" s="37">
        <f>[13]ARMM!L62</f>
        <v>0</v>
      </c>
      <c r="N67" s="37">
        <f>L67-M67</f>
        <v>0</v>
      </c>
      <c r="O67" s="37" t="e">
        <f>N67/M67*100</f>
        <v>#DIV/0!</v>
      </c>
      <c r="P67" s="37"/>
      <c r="Q67" s="36">
        <f>Q24/Q62</f>
        <v>3.7546631710743346</v>
      </c>
      <c r="R67" s="36">
        <f>R24/R62</f>
        <v>3.1760622256233577</v>
      </c>
      <c r="S67" s="37">
        <f>Q67-R67</f>
        <v>0.57860094545097684</v>
      </c>
      <c r="T67" s="37">
        <f t="shared" si="19"/>
        <v>0.57860094545097684</v>
      </c>
      <c r="U67" s="37"/>
      <c r="V67" s="36">
        <f>V24/V62</f>
        <v>6.4061175385822784</v>
      </c>
      <c r="W67" s="36">
        <f>W24/W62</f>
        <v>5.9975994456521731</v>
      </c>
      <c r="X67" s="36">
        <f t="shared" si="16"/>
        <v>0.40851809293010533</v>
      </c>
      <c r="Y67" s="36">
        <f t="shared" si="17"/>
        <v>6.8113600555010629</v>
      </c>
      <c r="Z67" s="37"/>
      <c r="AA67" s="36">
        <f>AA24/AA62</f>
        <v>7.5374328255032239</v>
      </c>
      <c r="AB67" s="36">
        <f>AB24/AB62</f>
        <v>7.0336237453789279</v>
      </c>
      <c r="AC67" s="37">
        <f>AA67-AB67</f>
        <v>0.50380908012429604</v>
      </c>
      <c r="AD67" s="37">
        <f>AC67/AB67*100</f>
        <v>7.1628665160728469</v>
      </c>
      <c r="AE67" s="37"/>
      <c r="AF67" s="36">
        <f>AF24/AF62</f>
        <v>6.7764979542007495</v>
      </c>
      <c r="AG67" s="36">
        <f>AG24/AG62</f>
        <v>6.1749640163398611</v>
      </c>
      <c r="AH67" s="36">
        <f>AF67-AG67</f>
        <v>0.60153393786088838</v>
      </c>
      <c r="AI67" s="36">
        <f>AH67/AG67*100</f>
        <v>9.7414970560013199</v>
      </c>
      <c r="AJ67" s="37"/>
      <c r="AK67" s="37">
        <f>AK24/AK62</f>
        <v>3.2658546447630923</v>
      </c>
      <c r="AL67" s="37">
        <f>AL24/AL62</f>
        <v>2.8957671300297441</v>
      </c>
      <c r="AM67" s="36">
        <f>AK67-AL67</f>
        <v>0.37008751473334822</v>
      </c>
      <c r="AN67" s="36">
        <f>AM67/AL67*100</f>
        <v>12.780292686364833</v>
      </c>
      <c r="AO67" s="37"/>
      <c r="AP67" s="55"/>
    </row>
    <row r="68" spans="1:45" s="17" customFormat="1" ht="15" hidden="1" customHeight="1">
      <c r="A68" s="52" t="s">
        <v>61</v>
      </c>
      <c r="B68" s="56"/>
      <c r="C68" s="56">
        <f>[13]ARMM!B68</f>
        <v>0</v>
      </c>
      <c r="D68" s="37"/>
      <c r="E68" s="37"/>
      <c r="F68" s="37"/>
      <c r="G68" s="56"/>
      <c r="H68" s="57"/>
      <c r="I68" s="37"/>
      <c r="J68" s="37"/>
      <c r="K68" s="37"/>
      <c r="L68" s="56"/>
      <c r="M68" s="37"/>
      <c r="N68" s="37"/>
      <c r="O68" s="37"/>
      <c r="P68" s="37"/>
      <c r="Q68" s="56"/>
      <c r="R68" s="37">
        <f>[13]ARMM!Q68</f>
        <v>0</v>
      </c>
      <c r="S68" s="37"/>
      <c r="T68" s="37"/>
      <c r="U68" s="37"/>
      <c r="V68" s="56"/>
      <c r="W68" s="37">
        <f>[13]ARMM!V68</f>
        <v>0</v>
      </c>
      <c r="X68" s="36"/>
      <c r="Y68" s="36"/>
      <c r="Z68" s="37"/>
      <c r="AA68" s="56"/>
      <c r="AB68" s="56">
        <f>[13]ARMM!AA68</f>
        <v>0</v>
      </c>
      <c r="AC68" s="37"/>
      <c r="AD68" s="37"/>
      <c r="AE68" s="37"/>
      <c r="AF68" s="56"/>
      <c r="AG68" s="36">
        <f>[13]ARMM!AF68</f>
        <v>0</v>
      </c>
      <c r="AH68" s="36"/>
      <c r="AI68" s="36"/>
      <c r="AJ68" s="37"/>
      <c r="AK68" s="37"/>
      <c r="AL68" s="58"/>
      <c r="AM68" s="36"/>
      <c r="AN68" s="36"/>
      <c r="AO68" s="37"/>
      <c r="AP68" s="59"/>
      <c r="AQ68" s="59"/>
      <c r="AR68" s="59"/>
      <c r="AS68" s="59"/>
    </row>
    <row r="69" spans="1:45" s="17" customFormat="1" ht="15" customHeight="1">
      <c r="A69" s="52" t="s">
        <v>62</v>
      </c>
      <c r="B69" s="56">
        <f>+$C$81</f>
        <v>67.94087005282195</v>
      </c>
      <c r="C69" s="56">
        <f>[13]ARMM!B69</f>
        <v>65.140781936382893</v>
      </c>
      <c r="D69" s="37"/>
      <c r="E69" s="37">
        <f>B69-C69</f>
        <v>2.8000881164390563</v>
      </c>
      <c r="F69" s="37"/>
      <c r="G69" s="56"/>
      <c r="H69" s="57">
        <f>[13]ARMM!G64</f>
        <v>0</v>
      </c>
      <c r="I69" s="37"/>
      <c r="J69" s="37"/>
      <c r="K69" s="37"/>
      <c r="L69" s="56">
        <f>+$C$83</f>
        <v>0</v>
      </c>
      <c r="M69" s="37">
        <f>[13]ARMM!L64</f>
        <v>0</v>
      </c>
      <c r="N69" s="37"/>
      <c r="O69" s="37">
        <f>L69-M69</f>
        <v>0</v>
      </c>
      <c r="P69" s="37"/>
      <c r="Q69" s="56">
        <f>+$C$84</f>
        <v>12.646914592201783</v>
      </c>
      <c r="R69" s="37">
        <v>12.01</v>
      </c>
      <c r="S69" s="37"/>
      <c r="T69" s="37">
        <f>Q69-R69</f>
        <v>0.63691459220178359</v>
      </c>
      <c r="U69" s="37"/>
      <c r="V69" s="56">
        <f>+$C$85</f>
        <v>80.961715020015717</v>
      </c>
      <c r="W69" s="37">
        <f>[13]ARMM!V69</f>
        <v>76.94164040884624</v>
      </c>
      <c r="X69" s="56">
        <f t="shared" ref="X69:X74" si="20">V69-W69</f>
        <v>4.020074611169477</v>
      </c>
      <c r="Y69" s="56">
        <f t="shared" ref="Y69:Y74" si="21">X69/W69*100</f>
        <v>5.2248361093004139</v>
      </c>
      <c r="Z69" s="37"/>
      <c r="AA69" s="56">
        <f>+$C$86</f>
        <v>44.27561889325861</v>
      </c>
      <c r="AB69" s="56">
        <f>[13]ARMM!AA69</f>
        <v>42.042702636286151</v>
      </c>
      <c r="AC69" s="37"/>
      <c r="AD69" s="37">
        <f>AA69-AB69</f>
        <v>2.2329162569724588</v>
      </c>
      <c r="AE69" s="37"/>
      <c r="AF69" s="56">
        <f>+$C$87</f>
        <v>38.576515333710212</v>
      </c>
      <c r="AG69" s="36">
        <f>[13]ARMM!AF69</f>
        <v>36.611547464394413</v>
      </c>
      <c r="AH69" s="36"/>
      <c r="AI69" s="36">
        <f>AF69-AG69</f>
        <v>1.9649678693157995</v>
      </c>
      <c r="AJ69" s="37"/>
      <c r="AK69" s="37">
        <f>+(B69+Q69+V69+AA69+AF69)/5</f>
        <v>48.880326778401653</v>
      </c>
      <c r="AL69" s="37">
        <f>+(C69+R69+W69+AB69+AG69)/5</f>
        <v>46.549334489181938</v>
      </c>
      <c r="AM69" s="36"/>
      <c r="AN69" s="36">
        <f>AK69-AL69</f>
        <v>2.330992289219715</v>
      </c>
      <c r="AO69" s="37"/>
      <c r="AP69" s="60"/>
      <c r="AQ69" s="60"/>
      <c r="AR69" s="60"/>
      <c r="AS69" s="59"/>
    </row>
    <row r="70" spans="1:45" s="17" customFormat="1" ht="15" customHeight="1">
      <c r="A70" s="33" t="s">
        <v>63</v>
      </c>
      <c r="B70" s="22">
        <v>43036</v>
      </c>
      <c r="C70" s="22">
        <v>41808</v>
      </c>
      <c r="D70" s="37">
        <f>B70-C70</f>
        <v>1228</v>
      </c>
      <c r="E70" s="37">
        <f>D70/C70*100</f>
        <v>2.9372368924607728</v>
      </c>
      <c r="F70" s="37"/>
      <c r="G70" s="36"/>
      <c r="H70" s="23">
        <v>3061</v>
      </c>
      <c r="I70" s="37">
        <f>G70-H70</f>
        <v>-3061</v>
      </c>
      <c r="J70" s="37">
        <f>I70/H70*100</f>
        <v>-100</v>
      </c>
      <c r="K70" s="37"/>
      <c r="L70" s="36">
        <v>69612</v>
      </c>
      <c r="M70" s="37">
        <v>91619</v>
      </c>
      <c r="N70" s="37">
        <f>L70-M70</f>
        <v>-22007</v>
      </c>
      <c r="O70" s="37">
        <f>N70/M70*100</f>
        <v>-24.020126829587749</v>
      </c>
      <c r="P70" s="37"/>
      <c r="Q70" s="22">
        <v>53651</v>
      </c>
      <c r="R70" s="23">
        <v>54167</v>
      </c>
      <c r="S70" s="37">
        <f>Q70-R70</f>
        <v>-516</v>
      </c>
      <c r="T70" s="37">
        <f>S70/R70*100</f>
        <v>-0.95260952240293906</v>
      </c>
      <c r="U70" s="37"/>
      <c r="V70" s="22">
        <v>4366</v>
      </c>
      <c r="W70" s="37">
        <v>4273</v>
      </c>
      <c r="X70" s="36">
        <f t="shared" si="20"/>
        <v>93</v>
      </c>
      <c r="Y70" s="36">
        <f t="shared" si="21"/>
        <v>2.1764568219049849</v>
      </c>
      <c r="Z70" s="37"/>
      <c r="AA70" s="22">
        <v>20110</v>
      </c>
      <c r="AB70" s="37">
        <v>19185</v>
      </c>
      <c r="AC70" s="37">
        <f>AA70-AB70</f>
        <v>925</v>
      </c>
      <c r="AD70" s="37">
        <f>AC70/AB70*100</f>
        <v>4.8214751107636173</v>
      </c>
      <c r="AE70" s="37"/>
      <c r="AF70" s="22">
        <v>13755</v>
      </c>
      <c r="AG70" s="22">
        <v>13841</v>
      </c>
      <c r="AH70" s="36">
        <f>AF70-AG70</f>
        <v>-86</v>
      </c>
      <c r="AI70" s="36">
        <f>AH70/AG70*100</f>
        <v>-0.6213423885557402</v>
      </c>
      <c r="AJ70" s="37"/>
      <c r="AK70" s="37">
        <f>+B70+G70+V70+AA70+AF70+Q70+L70</f>
        <v>204530</v>
      </c>
      <c r="AL70" s="37">
        <f>+C70+W70+AB70+AG70+R70</f>
        <v>133274</v>
      </c>
      <c r="AM70" s="36">
        <f>AK70-AL70</f>
        <v>71256</v>
      </c>
      <c r="AN70" s="36">
        <f>AM70/AL70*100</f>
        <v>53.465792277563516</v>
      </c>
      <c r="AO70" s="37"/>
    </row>
    <row r="71" spans="1:45" s="17" customFormat="1" ht="15" customHeight="1">
      <c r="A71" s="52" t="s">
        <v>64</v>
      </c>
      <c r="B71" s="22">
        <v>166</v>
      </c>
      <c r="C71" s="22">
        <v>159</v>
      </c>
      <c r="D71" s="23">
        <f>B71-C71</f>
        <v>7</v>
      </c>
      <c r="E71" s="23">
        <f>D71/C71*100</f>
        <v>4.4025157232704402</v>
      </c>
      <c r="F71" s="23"/>
      <c r="G71" s="22"/>
      <c r="H71" s="23">
        <v>25</v>
      </c>
      <c r="I71" s="23">
        <f>G71-H71</f>
        <v>-25</v>
      </c>
      <c r="J71" s="23">
        <f>I71/H71*100</f>
        <v>-100</v>
      </c>
      <c r="K71" s="23"/>
      <c r="L71" s="22">
        <v>230</v>
      </c>
      <c r="M71" s="23">
        <v>230</v>
      </c>
      <c r="N71" s="23">
        <f>L71-M71</f>
        <v>0</v>
      </c>
      <c r="O71" s="23">
        <f>N71/M71*100</f>
        <v>0</v>
      </c>
      <c r="P71" s="23"/>
      <c r="Q71" s="22">
        <v>117</v>
      </c>
      <c r="R71" s="23">
        <v>121</v>
      </c>
      <c r="S71" s="23">
        <f>Q71-R71</f>
        <v>-4</v>
      </c>
      <c r="T71" s="23">
        <f>S71/R71*100</f>
        <v>-3.3057851239669422</v>
      </c>
      <c r="U71" s="23"/>
      <c r="V71" s="61">
        <v>0</v>
      </c>
      <c r="W71" s="61">
        <v>0</v>
      </c>
      <c r="X71" s="22"/>
      <c r="Y71" s="22"/>
      <c r="Z71" s="23"/>
      <c r="AA71" s="22">
        <v>71</v>
      </c>
      <c r="AB71" s="23">
        <v>62</v>
      </c>
      <c r="AC71" s="23">
        <f>AA71-AB71</f>
        <v>9</v>
      </c>
      <c r="AD71" s="23">
        <f>AC71/AB71*100</f>
        <v>14.516129032258066</v>
      </c>
      <c r="AE71" s="23"/>
      <c r="AF71" s="22">
        <v>53</v>
      </c>
      <c r="AG71" s="22">
        <v>39</v>
      </c>
      <c r="AH71" s="22">
        <f>AF71-AG71</f>
        <v>14</v>
      </c>
      <c r="AI71" s="22">
        <f>AH71/AG71*100</f>
        <v>35.897435897435898</v>
      </c>
      <c r="AJ71" s="23"/>
      <c r="AK71" s="23">
        <f>+B71+G71+V71+AA71+AF71</f>
        <v>290</v>
      </c>
      <c r="AL71" s="23">
        <f>+C71+R71+W71+AB71+AG71</f>
        <v>381</v>
      </c>
      <c r="AM71" s="22">
        <f>AK71-AL71</f>
        <v>-91</v>
      </c>
      <c r="AN71" s="22">
        <f>AM71/AL71*100</f>
        <v>-23.884514435695539</v>
      </c>
      <c r="AO71" s="23"/>
    </row>
    <row r="72" spans="1:45" s="17" customFormat="1" ht="15" customHeight="1">
      <c r="A72" s="52" t="s">
        <v>65</v>
      </c>
      <c r="B72" s="22">
        <f>B70/B71</f>
        <v>259.25301204819277</v>
      </c>
      <c r="C72" s="22">
        <f>C70/C71</f>
        <v>262.94339622641508</v>
      </c>
      <c r="D72" s="23">
        <f>B72-C72</f>
        <v>-3.6903841782223026</v>
      </c>
      <c r="E72" s="23">
        <f>D72/C72*100</f>
        <v>-1.4034899644502157</v>
      </c>
      <c r="F72" s="23"/>
      <c r="G72" s="22" t="e">
        <f>G70/G71</f>
        <v>#DIV/0!</v>
      </c>
      <c r="H72" s="22">
        <f>H70/H71</f>
        <v>122.44</v>
      </c>
      <c r="I72" s="23" t="e">
        <f>G72-H72</f>
        <v>#DIV/0!</v>
      </c>
      <c r="J72" s="23" t="e">
        <f>I72/H72*100</f>
        <v>#DIV/0!</v>
      </c>
      <c r="K72" s="23"/>
      <c r="L72" s="22">
        <f>L70/L71</f>
        <v>302.66086956521741</v>
      </c>
      <c r="M72" s="22">
        <f>M70/M71</f>
        <v>398.34347826086957</v>
      </c>
      <c r="N72" s="23">
        <f>L72-M72</f>
        <v>-95.682608695652164</v>
      </c>
      <c r="O72" s="23">
        <f>N72/M72*100</f>
        <v>-24.020126829587745</v>
      </c>
      <c r="P72" s="23"/>
      <c r="Q72" s="22">
        <f>Q70/Q71</f>
        <v>458.55555555555554</v>
      </c>
      <c r="R72" s="22">
        <f>R70/R71</f>
        <v>447.6611570247934</v>
      </c>
      <c r="S72" s="23">
        <f>Q72-R72</f>
        <v>10.894398530762146</v>
      </c>
      <c r="T72" s="23">
        <f>S72/R72*100</f>
        <v>2.4336260494807163</v>
      </c>
      <c r="U72" s="23"/>
      <c r="V72" s="22" t="e">
        <f>V70/V71</f>
        <v>#DIV/0!</v>
      </c>
      <c r="W72" s="22" t="e">
        <f>W70/W71</f>
        <v>#DIV/0!</v>
      </c>
      <c r="X72" s="22" t="e">
        <f t="shared" si="20"/>
        <v>#DIV/0!</v>
      </c>
      <c r="Y72" s="22" t="e">
        <f t="shared" si="21"/>
        <v>#DIV/0!</v>
      </c>
      <c r="Z72" s="23"/>
      <c r="AA72" s="22">
        <f>AA70/AA71</f>
        <v>283.23943661971833</v>
      </c>
      <c r="AB72" s="22">
        <f>AB70/AB71</f>
        <v>309.43548387096774</v>
      </c>
      <c r="AC72" s="23">
        <f>AA72-AB72</f>
        <v>-26.196047251249411</v>
      </c>
      <c r="AD72" s="23">
        <f>AC72/AB72*100</f>
        <v>-8.4657541286289462</v>
      </c>
      <c r="AE72" s="23"/>
      <c r="AF72" s="22">
        <f>AF70/AF71</f>
        <v>259.52830188679246</v>
      </c>
      <c r="AG72" s="22">
        <f>AG70/AG71</f>
        <v>354.89743589743591</v>
      </c>
      <c r="AH72" s="22">
        <f>AF72-AG72</f>
        <v>-95.36913401064345</v>
      </c>
      <c r="AI72" s="22">
        <f>AH72/AG72*100</f>
        <v>-26.872308550069317</v>
      </c>
      <c r="AJ72" s="23"/>
      <c r="AK72" s="23">
        <f>AK70/AK71</f>
        <v>705.27586206896547</v>
      </c>
      <c r="AL72" s="23">
        <f>AL70/AL71</f>
        <v>349.80052493438319</v>
      </c>
      <c r="AM72" s="22">
        <f>AK72-AL72</f>
        <v>355.47533713458228</v>
      </c>
      <c r="AN72" s="22">
        <f>AM72/AL72*100</f>
        <v>101.6222995094886</v>
      </c>
      <c r="AO72" s="23"/>
    </row>
    <row r="73" spans="1:45" s="17" customFormat="1" ht="15" customHeight="1">
      <c r="A73" s="52" t="s">
        <v>66</v>
      </c>
      <c r="B73" s="22">
        <f>(1000*B26)/B70</f>
        <v>2375.0969725346222</v>
      </c>
      <c r="C73" s="22">
        <f>(1000*C26)/C70</f>
        <v>2927.9467704745502</v>
      </c>
      <c r="D73" s="23">
        <f>B73-C73</f>
        <v>-552.84979793992807</v>
      </c>
      <c r="E73" s="23">
        <f>D73/C73*100</f>
        <v>-18.881825431898967</v>
      </c>
      <c r="F73" s="23"/>
      <c r="G73" s="22" t="e">
        <f>(1000*G26)/G70</f>
        <v>#DIV/0!</v>
      </c>
      <c r="H73" s="23">
        <f>[13]ARMM!G68</f>
        <v>0</v>
      </c>
      <c r="I73" s="23" t="e">
        <f>G73-H73</f>
        <v>#DIV/0!</v>
      </c>
      <c r="J73" s="23" t="e">
        <f>I73/H73*100</f>
        <v>#DIV/0!</v>
      </c>
      <c r="K73" s="23"/>
      <c r="L73" s="22">
        <f>(1000*L26)/L70</f>
        <v>0</v>
      </c>
      <c r="M73" s="23">
        <f>[13]ARMM!L68</f>
        <v>0</v>
      </c>
      <c r="N73" s="23">
        <f>L73-M73</f>
        <v>0</v>
      </c>
      <c r="O73" s="23" t="e">
        <f>N73/M73*100</f>
        <v>#DIV/0!</v>
      </c>
      <c r="P73" s="23"/>
      <c r="Q73" s="22">
        <f>(1000*Q26)/Q70</f>
        <v>1620.9321861661479</v>
      </c>
      <c r="R73" s="22">
        <f>(1000*R26)/R70</f>
        <v>1283.3247595399414</v>
      </c>
      <c r="S73" s="23">
        <f>Q73-R73</f>
        <v>337.60742662620646</v>
      </c>
      <c r="T73" s="23">
        <f>S73/R73*100</f>
        <v>26.30724796015275</v>
      </c>
      <c r="U73" s="23"/>
      <c r="V73" s="22">
        <f>(1000*V26)/V70</f>
        <v>2178.9032295006873</v>
      </c>
      <c r="W73" s="22">
        <f>(1000*W26)/W70</f>
        <v>2114.627900772291</v>
      </c>
      <c r="X73" s="22">
        <f t="shared" si="20"/>
        <v>64.275328728396289</v>
      </c>
      <c r="Y73" s="22">
        <f t="shared" si="21"/>
        <v>3.0395573947039125</v>
      </c>
      <c r="Z73" s="23"/>
      <c r="AA73" s="22">
        <f>(1000*AA26)/AA70</f>
        <v>2419.6027896568871</v>
      </c>
      <c r="AB73" s="22">
        <f>(1000*AB26)/AB70</f>
        <v>2160.4743414125614</v>
      </c>
      <c r="AC73" s="23">
        <f>AA73-AB73</f>
        <v>259.12844824432568</v>
      </c>
      <c r="AD73" s="23">
        <f>AC73/AB73*100</f>
        <v>11.9940534945165</v>
      </c>
      <c r="AE73" s="23"/>
      <c r="AF73" s="22">
        <f>(1000*AF26)/AF70</f>
        <v>2292.9887466375867</v>
      </c>
      <c r="AG73" s="22">
        <f>(1000*AG26)/AG70</f>
        <v>2187.9596604291601</v>
      </c>
      <c r="AH73" s="22">
        <f>AF73-AG73</f>
        <v>105.02908620842663</v>
      </c>
      <c r="AI73" s="22">
        <f>AH73/AG73*100</f>
        <v>4.8003209614854399</v>
      </c>
      <c r="AJ73" s="23"/>
      <c r="AK73" s="23">
        <f>(1000*AK26)/AK70</f>
        <v>1363.5685221727863</v>
      </c>
      <c r="AL73" s="23">
        <f>(1000*AL26)/AL70</f>
        <v>2046.1118128817325</v>
      </c>
      <c r="AM73" s="22">
        <f>AK73-AL73</f>
        <v>-682.54329070894619</v>
      </c>
      <c r="AN73" s="22">
        <f>AM73/AL73*100</f>
        <v>-33.358064129821727</v>
      </c>
      <c r="AO73" s="23"/>
    </row>
    <row r="74" spans="1:45" s="17" customFormat="1">
      <c r="A74" s="17" t="s">
        <v>67</v>
      </c>
      <c r="B74" s="22">
        <v>13284</v>
      </c>
      <c r="C74" s="22">
        <v>12930</v>
      </c>
      <c r="D74" s="23">
        <f>B74-C74</f>
        <v>354</v>
      </c>
      <c r="E74" s="23">
        <f>D74/C74*100</f>
        <v>2.7378190255220418</v>
      </c>
      <c r="F74" s="23"/>
      <c r="G74" s="23"/>
      <c r="H74" s="23">
        <v>545</v>
      </c>
      <c r="I74" s="23">
        <f>G74-H74</f>
        <v>-545</v>
      </c>
      <c r="J74" s="23">
        <f>I74/H74*100</f>
        <v>-100</v>
      </c>
      <c r="K74" s="23"/>
      <c r="L74" s="23">
        <v>42140</v>
      </c>
      <c r="M74" s="23">
        <v>42630</v>
      </c>
      <c r="N74" s="23">
        <f>L74-M74</f>
        <v>-490</v>
      </c>
      <c r="O74" s="23">
        <f>N74/M74*100</f>
        <v>-1.1494252873563218</v>
      </c>
      <c r="P74" s="23"/>
      <c r="Q74" s="23">
        <v>26482</v>
      </c>
      <c r="R74" s="23">
        <v>23546</v>
      </c>
      <c r="S74" s="23">
        <f>Q74-R74</f>
        <v>2936</v>
      </c>
      <c r="T74" s="23">
        <f>S74/R74*100</f>
        <v>12.469209207508706</v>
      </c>
      <c r="U74" s="23"/>
      <c r="V74" s="23">
        <v>1193</v>
      </c>
      <c r="W74" s="23">
        <v>1170</v>
      </c>
      <c r="X74" s="22">
        <f t="shared" si="20"/>
        <v>23</v>
      </c>
      <c r="Y74" s="22">
        <f t="shared" si="21"/>
        <v>1.9658119658119657</v>
      </c>
      <c r="Z74" s="23"/>
      <c r="AA74" s="23">
        <v>10670</v>
      </c>
      <c r="AB74" s="23">
        <f>[13]ARMM!AA74</f>
        <v>10430</v>
      </c>
      <c r="AC74" s="23">
        <f>AA74-AB74</f>
        <v>240</v>
      </c>
      <c r="AD74" s="23">
        <f>AC74/AB74*100</f>
        <v>2.3010546500479387</v>
      </c>
      <c r="AE74" s="23"/>
      <c r="AF74" s="22">
        <v>8965</v>
      </c>
      <c r="AG74" s="22">
        <f>[13]ARMM!AF74</f>
        <v>8826</v>
      </c>
      <c r="AH74" s="22">
        <f>AF74-AG74</f>
        <v>139</v>
      </c>
      <c r="AI74" s="22">
        <f>AH74/AG74*100</f>
        <v>1.574892363471561</v>
      </c>
      <c r="AJ74" s="23"/>
      <c r="AK74" s="22">
        <f>+Q74+V74+AA74+AF74+B74+L74+G74</f>
        <v>102734</v>
      </c>
      <c r="AL74" s="22">
        <f>+R74+W74+AB74+AG74+C74+M74+H74</f>
        <v>100077</v>
      </c>
      <c r="AM74" s="22">
        <f>AK74-AL74</f>
        <v>2657</v>
      </c>
      <c r="AN74" s="22">
        <f>AM74/AL74*100</f>
        <v>2.6549556841232254</v>
      </c>
      <c r="AO74" s="23"/>
    </row>
    <row r="75" spans="1:45" s="17" customFormat="1">
      <c r="A75" s="17" t="s">
        <v>68</v>
      </c>
      <c r="B75" s="62" t="s">
        <v>69</v>
      </c>
      <c r="C75" s="62"/>
      <c r="D75" s="62"/>
      <c r="E75" s="62"/>
      <c r="F75" s="56"/>
      <c r="G75" s="62" t="s">
        <v>70</v>
      </c>
      <c r="H75" s="62"/>
      <c r="I75" s="62"/>
      <c r="J75" s="62"/>
      <c r="K75" s="36"/>
      <c r="L75" s="62" t="s">
        <v>71</v>
      </c>
      <c r="M75" s="62"/>
      <c r="N75" s="62"/>
      <c r="O75" s="62"/>
      <c r="P75" s="36"/>
      <c r="Q75" s="62" t="s">
        <v>71</v>
      </c>
      <c r="R75" s="62"/>
      <c r="S75" s="62"/>
      <c r="T75" s="62"/>
      <c r="U75" s="36"/>
      <c r="V75" s="62" t="s">
        <v>70</v>
      </c>
      <c r="W75" s="62"/>
      <c r="X75" s="62"/>
      <c r="Y75" s="62"/>
      <c r="Z75" s="36"/>
      <c r="AA75" s="62" t="s">
        <v>72</v>
      </c>
      <c r="AB75" s="62"/>
      <c r="AC75" s="62"/>
      <c r="AD75" s="62"/>
      <c r="AE75" s="36"/>
      <c r="AF75" s="62" t="s">
        <v>73</v>
      </c>
      <c r="AG75" s="62"/>
      <c r="AH75" s="62"/>
      <c r="AI75" s="62"/>
      <c r="AJ75" s="36"/>
      <c r="AK75" s="36"/>
      <c r="AL75" s="36"/>
      <c r="AM75" s="36"/>
      <c r="AN75" s="36"/>
    </row>
    <row r="77" spans="1:45">
      <c r="A77" s="17" t="s">
        <v>74</v>
      </c>
      <c r="B77" s="63">
        <f>+'[14]Summary 09_2024'!$P$118</f>
        <v>-46500.575939999995</v>
      </c>
      <c r="G77" s="63" t="b">
        <f>IF('[14]Summary 09_2024'!$P$119="NDA",0)</f>
        <v>0</v>
      </c>
      <c r="L77" s="63" t="b">
        <f>IF('[14]Summary 09_2024'!$P$120="NDA",0)</f>
        <v>0</v>
      </c>
      <c r="Q77" s="64">
        <f>+'[14]Summary 09_2024'!$P$121</f>
        <v>-225824.92277999999</v>
      </c>
      <c r="R77" s="52"/>
      <c r="V77" s="63">
        <f>+'[14]Summary 09_2024'!$P$122</f>
        <v>3689.8710000000005</v>
      </c>
      <c r="AA77" s="63">
        <f>+'[14]Summary 09_2024'!$P$123</f>
        <v>16832.424209999997</v>
      </c>
      <c r="AF77" s="63">
        <f>+'[14]Summary 09_2024'!$P$124</f>
        <v>-73570.700619999989</v>
      </c>
    </row>
    <row r="78" spans="1:45" s="65" customFormat="1">
      <c r="A78" s="65" t="s">
        <v>75</v>
      </c>
      <c r="B78" s="66">
        <f>+B34+B16-B77</f>
        <v>1.6000007599359378E-4</v>
      </c>
      <c r="G78" s="66">
        <f>+G34+G16-G77</f>
        <v>0</v>
      </c>
      <c r="H78" s="67"/>
      <c r="L78" s="66">
        <f>+L34+L16-L77</f>
        <v>0</v>
      </c>
      <c r="Q78" s="66">
        <f>+Q34+Q16-Q77</f>
        <v>-7.1000002208165824E-4</v>
      </c>
      <c r="R78" s="68"/>
      <c r="S78" s="68"/>
      <c r="V78" s="66">
        <f>+V34+V16-V77</f>
        <v>-4.259999998339481E-3</v>
      </c>
      <c r="AA78" s="66">
        <f>+AA34+AA16-AA77</f>
        <v>-3.8299999723676592E-3</v>
      </c>
      <c r="AF78" s="66">
        <f>+AF34+AF16-AF77</f>
        <v>-3.7699999811593443E-3</v>
      </c>
    </row>
    <row r="80" spans="1:45" ht="15.75">
      <c r="A80" s="69" t="s">
        <v>76</v>
      </c>
    </row>
    <row r="81" spans="1:32">
      <c r="A81" s="4" t="str">
        <f>'[14]Summary 09_2024'!A118</f>
        <v>BASELCO</v>
      </c>
      <c r="B81" s="70">
        <f>'[14]Summary 09_2024'!N118</f>
        <v>67.94087005282195</v>
      </c>
      <c r="C81" s="60">
        <f>IF(B81="NDA","0",B81)</f>
        <v>67.94087005282195</v>
      </c>
    </row>
    <row r="82" spans="1:32">
      <c r="A82" s="4" t="str">
        <f>'[14]Summary 09_2024'!A119</f>
        <v>CASELCO</v>
      </c>
      <c r="B82" s="70">
        <f>'[14]Summary 09_2024'!N119</f>
        <v>0</v>
      </c>
      <c r="C82" s="60">
        <f t="shared" ref="C82:C87" si="22">IF(B82="NDA","0",B82)</f>
        <v>0</v>
      </c>
    </row>
    <row r="83" spans="1:32">
      <c r="A83" s="4" t="str">
        <f>'[14]Summary 09_2024'!A120</f>
        <v>LASURECO</v>
      </c>
      <c r="B83" s="70">
        <f>'[14]Summary 09_2024'!N120</f>
        <v>0</v>
      </c>
      <c r="C83" s="60">
        <f t="shared" si="22"/>
        <v>0</v>
      </c>
    </row>
    <row r="84" spans="1:32">
      <c r="A84" s="4" t="str">
        <f>'[14]Summary 09_2024'!A121</f>
        <v>MAGELCO</v>
      </c>
      <c r="B84" s="70">
        <f>'[14]Summary 09_2024'!N121</f>
        <v>12.646914592201783</v>
      </c>
      <c r="C84" s="60">
        <f t="shared" si="22"/>
        <v>12.646914592201783</v>
      </c>
    </row>
    <row r="85" spans="1:32">
      <c r="A85" s="4" t="str">
        <f>'[14]Summary 09_2024'!A122</f>
        <v>SIASELCO</v>
      </c>
      <c r="B85" s="70">
        <f>'[14]Summary 09_2024'!N122</f>
        <v>80.961715020015717</v>
      </c>
      <c r="C85" s="60">
        <f t="shared" si="22"/>
        <v>80.961715020015717</v>
      </c>
    </row>
    <row r="86" spans="1:32">
      <c r="A86" s="4" t="str">
        <f>'[14]Summary 09_2024'!A123</f>
        <v>SULECO</v>
      </c>
      <c r="B86" s="70">
        <f>'[14]Summary 09_2024'!N123</f>
        <v>44.27561889325861</v>
      </c>
      <c r="C86" s="60">
        <f t="shared" si="22"/>
        <v>44.27561889325861</v>
      </c>
    </row>
    <row r="87" spans="1:32">
      <c r="A87" s="4" t="str">
        <f>'[14]Summary 09_2024'!A124</f>
        <v>TAWELCO</v>
      </c>
      <c r="B87" s="63">
        <f>'[14]Summary 09_2024'!N124</f>
        <v>38.576515333710212</v>
      </c>
      <c r="C87" s="60">
        <f t="shared" si="22"/>
        <v>38.576515333710212</v>
      </c>
    </row>
    <row r="90" spans="1:32">
      <c r="A90" s="17" t="s">
        <v>77</v>
      </c>
      <c r="B90" s="63">
        <f>+'[14]Summary 09_2024'!$S$118</f>
        <v>-915.30825000000004</v>
      </c>
      <c r="G90" s="63" t="b">
        <f>IF('[14]Summary 09_2024'!$S$119="NDA",0)</f>
        <v>0</v>
      </c>
      <c r="L90" s="63" t="b">
        <f>IF('[14]Summary 09_2024'!$S$120="NDA",0)</f>
        <v>0</v>
      </c>
      <c r="Q90" s="64">
        <f>+'[14]Summary 09_2024'!$S$121</f>
        <v>82828.303260000001</v>
      </c>
      <c r="R90" s="52"/>
      <c r="V90" s="63">
        <f>+'[14]Summary 09_2024'!$S$122</f>
        <v>3457.4652000000001</v>
      </c>
      <c r="AA90" s="63">
        <f>+'[14]Summary 09_2024'!$S$123</f>
        <v>89048.89817</v>
      </c>
      <c r="AF90" s="63">
        <f>+'[14]Summary 09_2024'!$S$124</f>
        <v>50787.134479999993</v>
      </c>
    </row>
    <row r="91" spans="1:32" s="73" customFormat="1">
      <c r="A91" s="71" t="s">
        <v>75</v>
      </c>
      <c r="B91" s="72">
        <f>B39-B90</f>
        <v>-1.7499999999017746E-3</v>
      </c>
      <c r="G91" s="72">
        <f>G39-G90</f>
        <v>0</v>
      </c>
      <c r="L91" s="72">
        <f>L39-L90</f>
        <v>0</v>
      </c>
      <c r="Q91" s="72">
        <f>Q39-Q90</f>
        <v>-3.2599999976810068E-3</v>
      </c>
      <c r="V91" s="72">
        <f>V39-V90</f>
        <v>4.7999999997045961E-3</v>
      </c>
      <c r="AA91" s="72">
        <f>AA39-AA90</f>
        <v>1.8299999937880784E-3</v>
      </c>
      <c r="AF91" s="72">
        <f>AF39-AF90</f>
        <v>-4.4799999959650449E-3</v>
      </c>
    </row>
  </sheetData>
  <sheetProtection formatCells="0" formatColumns="0" formatRows="0" insertColumns="0" insertRows="0" insertHyperlinks="0" deleteColumns="0" deleteRows="0" sort="0" autoFilter="0" pivotTables="0"/>
  <mergeCells count="30">
    <mergeCell ref="AF75:AI75"/>
    <mergeCell ref="B75:E75"/>
    <mergeCell ref="G75:J75"/>
    <mergeCell ref="L75:O75"/>
    <mergeCell ref="Q75:T75"/>
    <mergeCell ref="V75:Y75"/>
    <mergeCell ref="AA75:AD75"/>
    <mergeCell ref="AK6:AN6"/>
    <mergeCell ref="D8:E8"/>
    <mergeCell ref="I8:J8"/>
    <mergeCell ref="N8:O8"/>
    <mergeCell ref="S8:T8"/>
    <mergeCell ref="X8:Y8"/>
    <mergeCell ref="AC8:AD8"/>
    <mergeCell ref="AH8:AI8"/>
    <mergeCell ref="AM8:AN8"/>
    <mergeCell ref="AF5:AI5"/>
    <mergeCell ref="B6:E6"/>
    <mergeCell ref="G6:J6"/>
    <mergeCell ref="L6:O6"/>
    <mergeCell ref="Q6:T6"/>
    <mergeCell ref="V6:Y6"/>
    <mergeCell ref="AA6:AD6"/>
    <mergeCell ref="AF6:AI6"/>
    <mergeCell ref="B5:E5"/>
    <mergeCell ref="G5:J5"/>
    <mergeCell ref="L5:O5"/>
    <mergeCell ref="Q5:T5"/>
    <mergeCell ref="V5:Y5"/>
    <mergeCell ref="AA5:AD5"/>
  </mergeCells>
  <pageMargins left="0.75" right="0" top="0.35" bottom="0" header="0.5" footer="0.5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ARMM</vt:lpstr>
      <vt:lpstr>ARMM!Print_Area</vt:lpstr>
      <vt:lpstr>ARMM!Print_Titles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2025-01-22T07:42:36Z</dcterms:created>
  <dcterms:modified xsi:type="dcterms:W3CDTF">2025-01-22T07:42:49Z</dcterms:modified>
</cp:coreProperties>
</file>